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H8veivkpnW+l6sxuQvU1B4PYon+MED3i1NzamMT7W/OYyUxSBrVof2p/EBIS7pI7Y6foZTXVzQ+g7R9Le2q8BA==" workbookSaltValue="294JaAaQnMnMMcCPzo4X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M18" i="2"/>
  <c r="AO12" i="11"/>
  <c r="E12" i="6"/>
  <c r="H13" i="12"/>
  <c r="F13" i="7"/>
  <c r="T13" i="16"/>
  <c r="T13" i="20"/>
  <c r="BD9" i="8"/>
  <c r="BF15" i="13"/>
  <c r="BG15" i="13"/>
  <c r="BA18" i="13"/>
  <c r="BF16" i="13"/>
  <c r="W20" i="20"/>
  <c r="AA20" i="20"/>
  <c r="M20" i="20"/>
  <c r="AP20" i="20"/>
  <c r="AV20" i="20"/>
  <c r="T19" i="8" l="1"/>
  <c r="AN12" i="11"/>
  <c r="BG10" i="8"/>
  <c r="AO9" i="11"/>
  <c r="BE9" i="8"/>
  <c r="I9" i="7" s="1"/>
  <c r="BG12" i="8"/>
  <c r="K12" i="7" s="1"/>
  <c r="BG15" i="8"/>
  <c r="AO17" i="11"/>
  <c r="R8" i="9"/>
  <c r="BB13" i="13"/>
  <c r="BD16" i="13"/>
  <c r="BE15" i="13"/>
  <c r="BE12" i="21"/>
  <c r="BE13" i="21" s="1"/>
  <c r="BE19" i="21" s="1"/>
  <c r="F15" i="16"/>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G20" i="20"/>
  <c r="AE20" i="20"/>
  <c r="Y20" i="20"/>
  <c r="Q20" i="20"/>
  <c r="AF20" i="20"/>
  <c r="O16" i="11"/>
  <c r="T20" i="21"/>
  <c r="AI20" i="20"/>
  <c r="AM20" i="20"/>
  <c r="AC20" i="20"/>
  <c r="AB20" i="20"/>
  <c r="I20" i="20"/>
  <c r="AD20" i="20"/>
  <c r="AX20" i="20"/>
  <c r="G18" i="14"/>
  <c r="U12" i="11"/>
  <c r="AJ20" i="20"/>
  <c r="O10" i="11"/>
  <c r="AL20" i="20"/>
  <c r="P20" i="20"/>
  <c r="F20" i="20"/>
  <c r="I12" i="12" l="1"/>
  <c r="J12" i="12"/>
  <c r="P18" i="17"/>
  <c r="P19" i="17" s="1"/>
  <c r="Q18" i="17"/>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Z20" i="17"/>
  <c r="AP20" i="17"/>
  <c r="AJ20" i="16"/>
  <c r="Q20" i="16"/>
  <c r="AB20" i="11"/>
  <c r="AE20" i="11"/>
  <c r="AR20" i="11"/>
  <c r="E20" i="21"/>
  <c r="AH20" i="17"/>
  <c r="AD20" i="11"/>
  <c r="AS20" i="16"/>
  <c r="N20" i="16"/>
  <c r="X20" i="17"/>
  <c r="E20" i="16"/>
  <c r="O20" i="21"/>
  <c r="Q20" i="11"/>
  <c r="V20" i="16"/>
  <c r="AA20" i="11"/>
  <c r="BF20" i="16"/>
  <c r="AJ20" i="21"/>
  <c r="AF20" i="16"/>
  <c r="AG20" i="21"/>
  <c r="Y20" i="21"/>
  <c r="AK20" i="21"/>
  <c r="AL20" i="11"/>
  <c r="AE20" i="21"/>
  <c r="T20" i="16"/>
  <c r="V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AT20" i="16"/>
  <c r="X20" i="21"/>
  <c r="AG20" i="11"/>
  <c r="AK20" i="17"/>
  <c r="W20" i="11"/>
  <c r="Y20" i="11"/>
  <c r="I20" i="11"/>
  <c r="AK20" i="16"/>
  <c r="AO20" i="21"/>
  <c r="M20" i="11"/>
  <c r="F20" i="17"/>
  <c r="AB20" i="16"/>
  <c r="AI20" i="11"/>
  <c r="BC20" i="16"/>
  <c r="L20" i="17"/>
  <c r="AM20" i="21"/>
  <c r="N20" i="21"/>
  <c r="V20" i="20"/>
  <c r="AK20" i="11"/>
  <c r="BC20" i="21"/>
  <c r="AZ20" i="16"/>
  <c r="AX20" i="16"/>
  <c r="AA20" i="17"/>
  <c r="AW20" i="17"/>
  <c r="M20" i="17"/>
  <c r="J20" i="17"/>
  <c r="W20" i="16"/>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<sst xmlns="http://schemas.openxmlformats.org/spreadsheetml/2006/main" count="2102" uniqueCount="916">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</sst>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w205zLG/6Fk54bSgIWX3XHyxmrvw8OHRSwCjD16SEc6hjMm4lICbes4KGdIqJHVgTNoz4Z1CRpL6rz8t0hTGw==" saltValue="wPX/uUHRcxBYo1QLv6ID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19</v>
      </c>
      <c r="E10" s="226">
        <f>IF(ISNUMBER(Datos!J10),Datos!J10," - ")</f>
        <v>3</v>
      </c>
      <c r="F10" s="226">
        <f>IF(ISNUMBER(Datos!K10),Datos!K10," - ")</f>
        <v>0</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0.15789473684210525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53.09756097560976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19</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1040</v>
      </c>
      <c r="D16" s="225">
        <f>IF(ISNUMBER(IF(D_I="SI",Datos!I16,Datos!I16+Datos!AC16)),IF(D_I="SI",Datos!I16,Datos!I16+Datos!AC16)," - ")</f>
        <v>1040</v>
      </c>
      <c r="E16" s="226">
        <f>IF(ISNUMBER(IF(D_I="SI",Datos!J16,Datos!J16+Datos!AD16)),IF(D_I="SI",Datos!J16,Datos!J16+Datos!AD16)," - ")</f>
        <v>346</v>
      </c>
      <c r="F16" s="226">
        <f>IF(ISNUMBER(IF(D_I="SI",Datos!K16,Datos!K16+Datos!AE16)),IF(D_I="SI",Datos!K16,Datos!K16+Datos!AE16)," - ")</f>
        <v>269</v>
      </c>
      <c r="G16" s="1034" t="str">
        <f>IF(Datos!E16&lt;&gt;"",Datos!E16,Datos!D16)</f>
        <v>04</v>
      </c>
      <c r="H16" s="227">
        <f>IF(ISNUMBER(IF(D_I="SI",Datos!L16,Datos!L16+Datos!AF16)),IF(D_I="SI",Datos!L16,Datos!L16+Datos!AF16)," - ")</f>
        <v>1117</v>
      </c>
      <c r="I16" s="1044" t="str">
        <f>IF(ISNUMBER(Datos!AS16/Datos!BM16),Datos!AS16/Datos!BM16," - ")</f>
        <v xml:space="preserve"> - </v>
      </c>
      <c r="J16" s="1045">
        <f>IF(ISNUMBER(Datos!BY16/Datos!CN16),Datos!BY16/Datos!CN16," - ")</f>
        <v>0</v>
      </c>
      <c r="K16" s="230">
        <f t="shared" si="3"/>
        <v>7.4038461538461539E-2</v>
      </c>
      <c r="L16" s="1025">
        <f>IF(ISNUMBER(NºAsuntos!I16/NºAsuntos!G16),(NºAsuntos!I16/NºAsuntos!G16)*11," - ")</f>
        <v>45.676579925650564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86</v>
      </c>
      <c r="D17" s="225">
        <f>IF(ISNUMBER(IF(D_I="SI",Datos!I17,Datos!I17+Datos!AC17)),IF(D_I="SI",Datos!I17,Datos!I17+Datos!AC17)," - ")</f>
        <v>86</v>
      </c>
      <c r="E17" s="226">
        <f>IF(ISNUMBER(IF(D_I="SI",Datos!J17,Datos!J17+Datos!AD17)),IF(D_I="SI",Datos!J17,Datos!J17+Datos!AD17)," - ")</f>
        <v>36</v>
      </c>
      <c r="F17" s="226">
        <f>IF(ISNUMBER(IF(D_I="SI",Datos!K17,Datos!K17+Datos!AE17)),IF(D_I="SI",Datos!K17,Datos!K17+Datos!AE17)," - ")</f>
        <v>28</v>
      </c>
      <c r="G17" s="1034" t="str">
        <f>IF(Datos!E17&lt;&gt;"",Datos!E17,Datos!D17)</f>
        <v>37</v>
      </c>
      <c r="H17" s="227">
        <f>IF(ISNUMBER(IF(D_I="SI",Datos!L17,Datos!L17+Datos!AF17)),IF(D_I="SI",Datos!L17,Datos!L17+Datos!AF17)," - ")</f>
        <v>94</v>
      </c>
      <c r="I17" s="1044" t="str">
        <f>IF(ISNUMBER(Datos!AS17/Datos!BM17),Datos!AS17/Datos!BM17," - ")</f>
        <v xml:space="preserve"> - </v>
      </c>
      <c r="J17" s="1045" t="str">
        <f>IF(ISNUMBER((Datos!BY17+Datos!BZ17)/Datos!CN17),(Datos!BY17+Datos!BZ17)/Datos!CN17," - ")</f>
        <v xml:space="preserve"> - </v>
      </c>
      <c r="K17" s="230">
        <f t="shared" si="3"/>
        <v>9.3023255813953487E-2</v>
      </c>
      <c r="L17" s="1025">
        <f>IF(ISNUMBER(NºAsuntos!I17/NºAsuntos!G17),(NºAsuntos!I17/NºAsuntos!G17)*11," - ")</f>
        <v>36.928571428571431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1126</v>
      </c>
      <c r="D18" s="1049">
        <f>SUBTOTAL(9,D15:D17)</f>
        <v>1126</v>
      </c>
      <c r="E18" s="1050">
        <f>SUBTOTAL(9,E15:E17)</f>
        <v>382</v>
      </c>
      <c r="F18" s="1050">
        <f>SUBTOTAL(9,F15:F17)</f>
        <v>297</v>
      </c>
      <c r="G18" s="1052" t="str">
        <f ca="1">INDIRECT(CONCATENATE("G",ROW()-1))</f>
        <v>37</v>
      </c>
      <c r="H18" s="1053">
        <f ca="1">SUMIF(G$14:G17,G18,H$14:H17)</f>
        <v>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1145</v>
      </c>
      <c r="D19" s="1071">
        <f>SUBTOTAL(9,D9:D18)</f>
        <v>1145</v>
      </c>
      <c r="E19" s="1072">
        <f>SUBTOTAL(9,E9:E18)</f>
        <v>385</v>
      </c>
      <c r="F19" s="1072">
        <f>SUBTOTAL(9,F9:F18)</f>
        <v>297</v>
      </c>
      <c r="G19" s="1073"/>
      <c r="H19" s="1074">
        <f ca="1">SUMIF(B9:B18,"TOTAL",H9:H18)</f>
        <v>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C/+tCbhlPpVbJOJZeii9xx249NiRIHlnYv7qR14Ik83S6d7hqv9+C84wtbXDVWtXXRsUhwa5kTDv7El0dvJBg==" saltValue="J/vg401ErPYELSN5wnK3x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btuRz9hevnQFpSsAUOqjhgpyVNrugAARlxLm3gZCZyYBSaX4z3Ta5AL1RhbjCCxfhGly12+MuPAphGxMPV6g==" saltValue="Ry0TlcXyRbJIF6QVvLZ+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v>
      </c>
      <c r="J10" s="181">
        <v>3</v>
      </c>
      <c r="K10" s="181">
        <v>0</v>
      </c>
      <c r="L10" s="181">
        <v>22</v>
      </c>
      <c r="M10" s="181">
        <v>0</v>
      </c>
      <c r="N10" s="181">
        <v>0</v>
      </c>
      <c r="O10" s="181">
        <v>0</v>
      </c>
      <c r="P10" s="181">
        <v>1</v>
      </c>
      <c r="Q10" s="181">
        <v>0</v>
      </c>
      <c r="R10" s="181">
        <v>7</v>
      </c>
      <c r="S10" s="181">
        <v>13</v>
      </c>
      <c r="T10" s="181">
        <v>1</v>
      </c>
      <c r="U10" s="181">
        <v>0</v>
      </c>
      <c r="V10" s="181">
        <v>14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v>
      </c>
      <c r="AZ10" s="129">
        <f t="shared" si="0"/>
        <v>1</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2102</v>
      </c>
      <c r="J12" s="183">
        <v>451</v>
      </c>
      <c r="K12" s="183">
        <v>425</v>
      </c>
      <c r="L12" s="183">
        <v>2128</v>
      </c>
      <c r="M12" s="183">
        <v>175</v>
      </c>
      <c r="N12" s="183">
        <v>168</v>
      </c>
      <c r="O12" s="181">
        <v>157</v>
      </c>
      <c r="P12" s="183">
        <v>94</v>
      </c>
      <c r="Q12" s="183">
        <v>49</v>
      </c>
      <c r="R12" s="183">
        <v>1569</v>
      </c>
      <c r="S12" s="183">
        <v>1183</v>
      </c>
      <c r="T12" s="183">
        <v>540</v>
      </c>
      <c r="U12" s="183">
        <v>310</v>
      </c>
      <c r="V12" s="183">
        <v>1414</v>
      </c>
      <c r="W12" s="183">
        <v>86</v>
      </c>
      <c r="X12" s="189">
        <v>168</v>
      </c>
      <c r="Y12" s="191">
        <v>50</v>
      </c>
      <c r="Z12" s="181">
        <v>25</v>
      </c>
      <c r="AA12" s="181">
        <v>26</v>
      </c>
      <c r="AB12" s="181">
        <v>49</v>
      </c>
      <c r="AC12" s="183">
        <v>0</v>
      </c>
      <c r="AD12" s="183">
        <v>0</v>
      </c>
      <c r="AE12" s="183">
        <v>0</v>
      </c>
      <c r="AF12" s="189">
        <v>0</v>
      </c>
      <c r="AG12" s="202">
        <v>27</v>
      </c>
      <c r="AH12" s="183">
        <v>24</v>
      </c>
      <c r="AI12" s="183">
        <v>39</v>
      </c>
      <c r="AJ12" s="203">
        <v>23</v>
      </c>
      <c r="AK12" s="182">
        <v>0</v>
      </c>
      <c r="AL12" s="183">
        <v>0</v>
      </c>
      <c r="AM12" s="183">
        <v>0</v>
      </c>
      <c r="AN12" s="189">
        <v>0</v>
      </c>
      <c r="AO12" s="259">
        <v>2</v>
      </c>
      <c r="AP12" s="155">
        <v>2</v>
      </c>
      <c r="AQ12" s="155">
        <v>2</v>
      </c>
      <c r="AR12" s="154">
        <v>2</v>
      </c>
      <c r="AS12" s="340" t="s">
        <v>794</v>
      </c>
      <c r="AT12" s="203"/>
      <c r="AU12" s="202"/>
      <c r="AV12" s="203"/>
      <c r="AW12" s="202"/>
      <c r="AX12" s="203"/>
      <c r="AY12" s="126">
        <f t="shared" si="1"/>
        <v>1210</v>
      </c>
      <c r="AZ12" s="127">
        <f t="shared" si="1"/>
        <v>564</v>
      </c>
      <c r="BA12" s="127">
        <f t="shared" si="1"/>
        <v>349</v>
      </c>
      <c r="BB12" s="127">
        <f t="shared" si="1"/>
        <v>1437</v>
      </c>
      <c r="BC12" s="125">
        <f>IF(ISNUMBER(X12),X12," - ")</f>
        <v>168</v>
      </c>
      <c r="BD12" s="126">
        <f t="shared" si="2"/>
        <v>0.61879432624113473</v>
      </c>
      <c r="BE12" s="127">
        <f t="shared" si="3"/>
        <v>4.1174785100286533</v>
      </c>
      <c r="BF12" s="127">
        <f t="shared" si="4"/>
        <v>0.48137535816618909</v>
      </c>
      <c r="BG12" s="196">
        <f t="shared" si="5"/>
        <v>5.0830945558739256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2121</v>
      </c>
      <c r="J13" s="184">
        <f t="shared" si="6"/>
        <v>454</v>
      </c>
      <c r="K13" s="184">
        <f t="shared" si="6"/>
        <v>425</v>
      </c>
      <c r="L13" s="184">
        <f t="shared" si="6"/>
        <v>2150</v>
      </c>
      <c r="M13" s="184">
        <f t="shared" si="6"/>
        <v>175</v>
      </c>
      <c r="N13" s="184">
        <f t="shared" si="6"/>
        <v>168</v>
      </c>
      <c r="O13" s="184">
        <f t="shared" si="6"/>
        <v>157</v>
      </c>
      <c r="P13" s="184">
        <f t="shared" si="6"/>
        <v>95</v>
      </c>
      <c r="Q13" s="184">
        <f t="shared" si="6"/>
        <v>49</v>
      </c>
      <c r="R13" s="184">
        <f t="shared" si="6"/>
        <v>1576</v>
      </c>
      <c r="S13" s="184">
        <f t="shared" si="6"/>
        <v>1196</v>
      </c>
      <c r="T13" s="184">
        <f t="shared" si="6"/>
        <v>541</v>
      </c>
      <c r="U13" s="184">
        <f t="shared" si="6"/>
        <v>310</v>
      </c>
      <c r="V13" s="184">
        <f t="shared" si="6"/>
        <v>1428</v>
      </c>
      <c r="W13" s="184">
        <f t="shared" si="6"/>
        <v>86</v>
      </c>
      <c r="X13" s="184">
        <f t="shared" si="6"/>
        <v>168</v>
      </c>
      <c r="Y13" s="184">
        <f t="shared" si="6"/>
        <v>50</v>
      </c>
      <c r="Z13" s="184">
        <f t="shared" si="6"/>
        <v>25</v>
      </c>
      <c r="AA13" s="184">
        <f t="shared" si="6"/>
        <v>26</v>
      </c>
      <c r="AB13" s="184">
        <f t="shared" si="6"/>
        <v>49</v>
      </c>
      <c r="AC13" s="184">
        <f t="shared" si="6"/>
        <v>0</v>
      </c>
      <c r="AD13" s="184">
        <f t="shared" si="6"/>
        <v>0</v>
      </c>
      <c r="AE13" s="184">
        <f t="shared" si="6"/>
        <v>0</v>
      </c>
      <c r="AF13" s="184">
        <f>SUBTOTAL(9,AF9:AF12)</f>
        <v>0</v>
      </c>
      <c r="AG13" s="184">
        <f t="shared" ref="AG13:AT13" si="7">SUBTOTAL(9,AG8:AG12)</f>
        <v>27</v>
      </c>
      <c r="AH13" s="184">
        <f t="shared" si="7"/>
        <v>24</v>
      </c>
      <c r="AI13" s="184">
        <f t="shared" si="7"/>
        <v>39</v>
      </c>
      <c r="AJ13" s="184">
        <f t="shared" si="7"/>
        <v>23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1223</v>
      </c>
      <c r="AZ13" s="184">
        <f>SUBTOTAL(9,AZ8:AZ12)</f>
        <v>565</v>
      </c>
      <c r="BA13" s="184">
        <f>SUBTOTAL(9,BA8:BA12)</f>
        <v>349</v>
      </c>
      <c r="BB13" s="184">
        <f>SUBTOTAL(9,BB8:BB12)</f>
        <v>1451</v>
      </c>
      <c r="BC13" s="184">
        <f>SUBTOTAL(9,BC8:BC12)</f>
        <v>168</v>
      </c>
      <c r="BD13" s="205">
        <f>IF(ISNUMBER(BA13/AZ13),BA13/AZ13," - ")</f>
        <v>0.61769911504424779</v>
      </c>
      <c r="BE13" s="206">
        <f>IF(ISNUMBER(BB13/BA13),BB13/BA13, " - ")</f>
        <v>4.1575931232091694</v>
      </c>
      <c r="BF13" s="206">
        <f>IF(ISNUMBER(BC13/BA13),BC13/BA13, " - ")</f>
        <v>0.48137535816618909</v>
      </c>
      <c r="BG13" s="207">
        <f>IF(ISNUMBER((AY13+AZ13)/BA13),(AY13+AZ13)/BA13," - ")</f>
        <v>5.1232091690544417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1040</v>
      </c>
      <c r="J16" s="183">
        <v>346</v>
      </c>
      <c r="K16" s="183">
        <v>269</v>
      </c>
      <c r="L16" s="183">
        <v>1117</v>
      </c>
      <c r="M16" s="183">
        <v>59</v>
      </c>
      <c r="N16" s="183">
        <v>129</v>
      </c>
      <c r="O16" s="181">
        <v>6</v>
      </c>
      <c r="P16" s="183">
        <v>19</v>
      </c>
      <c r="Q16" s="183">
        <v>8</v>
      </c>
      <c r="R16" s="183">
        <v>127</v>
      </c>
      <c r="S16" s="183">
        <v>613</v>
      </c>
      <c r="T16" s="183">
        <v>305</v>
      </c>
      <c r="U16" s="183">
        <v>178</v>
      </c>
      <c r="V16" s="183">
        <v>745</v>
      </c>
      <c r="W16" s="183">
        <v>36</v>
      </c>
      <c r="X16" s="189">
        <v>73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613</v>
      </c>
      <c r="AZ16" s="127">
        <f t="shared" si="9"/>
        <v>305</v>
      </c>
      <c r="BA16" s="127">
        <f t="shared" si="9"/>
        <v>178</v>
      </c>
      <c r="BB16" s="127">
        <f t="shared" si="9"/>
        <v>745</v>
      </c>
      <c r="BC16" s="125">
        <f>IF(ISNUMBER(W16),W16," - ")</f>
        <v>36</v>
      </c>
      <c r="BD16" s="126">
        <f t="shared" ref="BD16" si="11">IF(ISNUMBER(BA16/AZ16),BA16/AZ16," - ")</f>
        <v>0.58360655737704914</v>
      </c>
      <c r="BE16" s="127">
        <f t="shared" ref="BE16" si="12">IF(ISNUMBER(BB16/BA16),BB16/BA16, " - ")</f>
        <v>4.1853932584269664</v>
      </c>
      <c r="BF16" s="127">
        <f t="shared" ref="BF16" si="13">IF(ISNUMBER(BC16/BA16),BC16/BA16, " - ")</f>
        <v>0.20224719101123595</v>
      </c>
      <c r="BG16" s="196">
        <f t="shared" si="10"/>
        <v>5.1573033707865168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86</v>
      </c>
      <c r="J17" s="183">
        <v>36</v>
      </c>
      <c r="K17" s="183">
        <v>28</v>
      </c>
      <c r="L17" s="183">
        <v>94</v>
      </c>
      <c r="M17" s="183">
        <v>0</v>
      </c>
      <c r="N17" s="183">
        <v>14</v>
      </c>
      <c r="O17" s="183">
        <v>0</v>
      </c>
      <c r="P17" s="183">
        <v>0</v>
      </c>
      <c r="Q17" s="183">
        <v>0</v>
      </c>
      <c r="R17" s="183">
        <v>3</v>
      </c>
      <c r="S17" s="183">
        <v>66</v>
      </c>
      <c r="T17" s="183">
        <v>24</v>
      </c>
      <c r="U17" s="183">
        <v>18</v>
      </c>
      <c r="V17" s="183">
        <v>72</v>
      </c>
      <c r="W17" s="183">
        <v>1</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66</v>
      </c>
      <c r="AZ17" s="129">
        <f t="shared" si="14"/>
        <v>24</v>
      </c>
      <c r="BA17" s="129">
        <f t="shared" si="14"/>
        <v>18</v>
      </c>
      <c r="BB17" s="129">
        <f t="shared" si="14"/>
        <v>72</v>
      </c>
      <c r="BC17" s="125">
        <f>IF(ISNUMBER(W17),W17," - ")</f>
        <v>1</v>
      </c>
      <c r="BD17" s="126">
        <f>IF(ISNUMBER(BA17/AZ17),BA17/AZ17," - ")</f>
        <v>0.75</v>
      </c>
      <c r="BE17" s="127">
        <f>IF(ISNUMBER(BB17/BA17),BB17/BA17, " - ")</f>
        <v>4</v>
      </c>
      <c r="BF17" s="127">
        <f>IF(ISNUMBER(BC17/BA17),BC17/BA17, " - ")</f>
        <v>5.5555555555555552E-2</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1126</v>
      </c>
      <c r="J18" s="184">
        <f t="shared" si="15"/>
        <v>382</v>
      </c>
      <c r="K18" s="184">
        <f t="shared" si="15"/>
        <v>297</v>
      </c>
      <c r="L18" s="184">
        <f t="shared" si="15"/>
        <v>1211</v>
      </c>
      <c r="M18" s="184">
        <f t="shared" si="15"/>
        <v>59</v>
      </c>
      <c r="N18" s="184">
        <f t="shared" si="15"/>
        <v>143</v>
      </c>
      <c r="O18" s="184">
        <f t="shared" si="15"/>
        <v>6</v>
      </c>
      <c r="P18" s="184">
        <f t="shared" si="15"/>
        <v>19</v>
      </c>
      <c r="Q18" s="184">
        <f t="shared" si="15"/>
        <v>8</v>
      </c>
      <c r="R18" s="184">
        <f t="shared" si="15"/>
        <v>130</v>
      </c>
      <c r="S18" s="184">
        <f t="shared" si="15"/>
        <v>679</v>
      </c>
      <c r="T18" s="184">
        <f t="shared" si="15"/>
        <v>329</v>
      </c>
      <c r="U18" s="184">
        <f t="shared" si="15"/>
        <v>196</v>
      </c>
      <c r="V18" s="184">
        <f t="shared" si="15"/>
        <v>817</v>
      </c>
      <c r="W18" s="184">
        <f t="shared" si="15"/>
        <v>37</v>
      </c>
      <c r="X18" s="184">
        <f t="shared" si="15"/>
        <v>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679</v>
      </c>
      <c r="AZ18" s="184">
        <f>SUBTOTAL(9,AZ14:AZ17)</f>
        <v>329</v>
      </c>
      <c r="BA18" s="184">
        <f>SUBTOTAL(9,BA14:BA17)</f>
        <v>196</v>
      </c>
      <c r="BB18" s="184">
        <f>SUBTOTAL(9,BB14:BB17)</f>
        <v>817</v>
      </c>
      <c r="BC18" s="184">
        <f>SUBTOTAL(9,BC14:BC17)</f>
        <v>37</v>
      </c>
      <c r="BD18" s="205">
        <f>IF(ISNUMBER(BA18/AZ18),BA18/AZ18," - ")</f>
        <v>0.5957446808510638</v>
      </c>
      <c r="BE18" s="206">
        <f>IF(ISNUMBER(BB18/BA18),BB18/BA18, " - ")</f>
        <v>4.1683673469387754</v>
      </c>
      <c r="BF18" s="206">
        <f>IF(ISNUMBER(BC18/BA18),BC18/BA18, " - ")</f>
        <v>0.18877551020408162</v>
      </c>
      <c r="BG18" s="207">
        <f>IF(ISNUMBER((AY18+AZ18)/BA18),(AY18+AZ18)/BA18," - ")</f>
        <v>5.1428571428571432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3247</v>
      </c>
      <c r="J19" s="134">
        <f t="shared" si="18"/>
        <v>836</v>
      </c>
      <c r="K19" s="134">
        <f t="shared" si="18"/>
        <v>722</v>
      </c>
      <c r="L19" s="134">
        <f t="shared" si="18"/>
        <v>3361</v>
      </c>
      <c r="M19" s="134">
        <f t="shared" si="18"/>
        <v>234</v>
      </c>
      <c r="N19" s="134">
        <f t="shared" si="18"/>
        <v>311</v>
      </c>
      <c r="O19" s="134">
        <f t="shared" si="18"/>
        <v>163</v>
      </c>
      <c r="P19" s="134">
        <f t="shared" si="18"/>
        <v>114</v>
      </c>
      <c r="Q19" s="134">
        <f t="shared" si="18"/>
        <v>57</v>
      </c>
      <c r="R19" s="134">
        <f t="shared" si="18"/>
        <v>1706</v>
      </c>
      <c r="S19" s="134">
        <f t="shared" si="18"/>
        <v>1875</v>
      </c>
      <c r="T19" s="134">
        <f t="shared" si="18"/>
        <v>870</v>
      </c>
      <c r="U19" s="134">
        <f t="shared" si="18"/>
        <v>506</v>
      </c>
      <c r="V19" s="134">
        <f t="shared" si="18"/>
        <v>2245</v>
      </c>
      <c r="W19" s="134">
        <f t="shared" si="18"/>
        <v>123</v>
      </c>
      <c r="X19" s="134">
        <f t="shared" si="18"/>
        <v>253</v>
      </c>
      <c r="Y19" s="134">
        <f t="shared" si="18"/>
        <v>50</v>
      </c>
      <c r="Z19" s="134">
        <f t="shared" si="18"/>
        <v>25</v>
      </c>
      <c r="AA19" s="134">
        <f t="shared" si="18"/>
        <v>26</v>
      </c>
      <c r="AB19" s="134">
        <f t="shared" si="18"/>
        <v>49</v>
      </c>
      <c r="AC19" s="134">
        <f t="shared" si="18"/>
        <v>0</v>
      </c>
      <c r="AD19" s="134">
        <f t="shared" si="18"/>
        <v>0</v>
      </c>
      <c r="AE19" s="134">
        <f t="shared" si="18"/>
        <v>0</v>
      </c>
      <c r="AF19" s="134">
        <f t="shared" si="18"/>
        <v>0</v>
      </c>
      <c r="AG19" s="134">
        <f t="shared" si="18"/>
        <v>27</v>
      </c>
      <c r="AH19" s="134">
        <f t="shared" si="18"/>
        <v>24</v>
      </c>
      <c r="AI19" s="134">
        <f t="shared" si="18"/>
        <v>39</v>
      </c>
      <c r="AJ19" s="134">
        <f t="shared" si="18"/>
        <v>23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1902</v>
      </c>
      <c r="AZ19" s="134">
        <f>SUBTOTAL(9,AZ9:AZ18)</f>
        <v>894</v>
      </c>
      <c r="BA19" s="134">
        <f>SUBTOTAL(9,BA9:BA18)</f>
        <v>545</v>
      </c>
      <c r="BB19" s="134">
        <f>SUBTOTAL(9,BB9:BB18)</f>
        <v>2268</v>
      </c>
      <c r="BC19" s="135">
        <f>SUBTOTAL(9,BC9:BC18)</f>
        <v>205</v>
      </c>
      <c r="BD19" s="213">
        <f>IF(ISNUMBER(BA19/AZ19),BA19/AZ19," - ")</f>
        <v>0.60961968680089484</v>
      </c>
      <c r="BE19" s="210">
        <f>IF(ISNUMBER(BB19/BA19),BB19/BA19, " - ")</f>
        <v>4.1614678899082564</v>
      </c>
      <c r="BF19" s="210">
        <f>IF(ISNUMBER(BC19/BA19),BC19/BA19, " - ")</f>
        <v>0.37614678899082571</v>
      </c>
      <c r="BG19" s="135">
        <f>IF(ISNUMBER((AY19+AZ19)/BA19),(AY19+AZ19)/BA19," - ")</f>
        <v>5.1302752293577978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1jRmV+Zs2wCHmkgv6AUelhujON2w2QPKflH+fMxMeKI4HLQ+StH+WHbQDKo4zRxu5XahHw1yZbnZzupz+LAQQ==" saltValue="w55n8aFGy22gH5qmYS+r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85GU5VWC0kCTsibp64X/Sdz+4/IYfvt8cR9qeqFXEFWlErw/8kmfQegKDa+UvnA4Xm5S/2j+xGgeit0iIS0rg==" saltValue="hZKWmPQO5WmXzfUSzW3F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MARIN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22</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94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1569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175</v>
      </c>
      <c r="BD12" s="229">
        <f>IF(ISNUMBER(Datos!N12),Datos!N12," - ")</f>
        <v>168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0.94747899159663862</v>
      </c>
      <c r="BH12" s="260">
        <f>IF(ISNUMBER(((IF(J_V="SI",Datos!L12/Datos!K12,(Datos!L12+Datos!AB12)/(Datos!K12+Datos!AA12)))*11)/factor_trimestre),((IF(J_V="SI",Datos!L12/Datos!K12,(Datos!L12+Datos!AB12)/(Datos!K12+Datos!AA12)))*11)/factor_trimestre," - ")</f>
        <v>14.481152993348116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2.952755905511811E-2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49</v>
      </c>
      <c r="AD13" s="899">
        <f t="shared" si="1"/>
        <v>0</v>
      </c>
      <c r="AE13" s="899">
        <f t="shared" si="1"/>
        <v>0</v>
      </c>
      <c r="AF13" s="899">
        <f t="shared" si="1"/>
        <v>22</v>
      </c>
      <c r="AG13" s="899">
        <f t="shared" si="1"/>
        <v>0</v>
      </c>
      <c r="AH13" s="899">
        <f t="shared" si="1"/>
        <v>49</v>
      </c>
      <c r="AI13" s="899">
        <f t="shared" si="1"/>
        <v>0</v>
      </c>
      <c r="AJ13" s="899">
        <f t="shared" si="1"/>
        <v>0</v>
      </c>
      <c r="AK13" s="899">
        <f t="shared" si="1"/>
        <v>0</v>
      </c>
      <c r="AL13" s="899">
        <f t="shared" si="1"/>
        <v>0</v>
      </c>
      <c r="AM13" s="899">
        <f t="shared" si="1"/>
        <v>1576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175</v>
      </c>
      <c r="BD13" s="899">
        <f t="shared" si="1"/>
        <v>168</v>
      </c>
      <c r="BE13" s="899">
        <f t="shared" si="1"/>
        <v>0</v>
      </c>
      <c r="BF13" s="899">
        <f t="shared" si="1"/>
        <v>0</v>
      </c>
      <c r="BG13" s="899">
        <f>IF(ISNUMBER(Datos!K13/Datos!J13),Datos!K13/Datos!J13," - ")</f>
        <v>0.93612334801762109</v>
      </c>
      <c r="BH13" s="903">
        <f>IF(ISNUMBER(((Datos!L13/Datos!K13)*11)/factor_trimestre),((Datos!L13/Datos!K13)*11)/factor_trimestre," - ")</f>
        <v>15.176470588235293</v>
      </c>
      <c r="BI13" s="899">
        <f>IF(ISNUMBER('Resol  Asuntos'!D13/NºAsuntos!G13),'Resol  Asuntos'!D13/NºAsuntos!G13," - ")</f>
        <v>0.38802660753880264</v>
      </c>
      <c r="BJ13" s="899" t="str">
        <f>IF(ISNUMBER(Datos!CI13/Datos!CJ13),Datos!CI13/Datos!CJ13," - ")</f>
        <v xml:space="preserve"> - </v>
      </c>
      <c r="BK13" s="899">
        <f>SUBTOTAL(9,BK8:BK12)</f>
        <v>0</v>
      </c>
      <c r="BL13" s="899">
        <f>IF(ISNUMBER((I13-AB13+L13)/(F13)),(I13-AB13+L13)/(F13)," - ")</f>
        <v>0</v>
      </c>
      <c r="BM13" s="904">
        <f>SUBTOTAL(9,BM9:BM12)</f>
        <v>0.19619422572178477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1040</v>
      </c>
      <c r="G16" s="598">
        <f>IF(ISNUMBER(IF(D_I="SI",Datos!I16,Datos!I16+Datos!AC16)),IF(D_I="SI",Datos!I16,Datos!I16+Datos!AC16)," - ")</f>
        <v>1040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269</v>
      </c>
      <c r="AC16" s="226">
        <f>IF(ISNUMBER(Datos!Q16),Datos!Q16," - ")</f>
        <v>8</v>
      </c>
      <c r="AD16" s="334"/>
      <c r="AE16" s="484"/>
      <c r="AF16" s="596">
        <f>IF(ISNUMBER(IF(D_I="SI",Datos!L16,Datos!L16+Datos!AF16)),IF(D_I="SI",Datos!L16,Datos!L16+Datos!AF16)," - ")</f>
        <v>1117</v>
      </c>
      <c r="AG16" s="334"/>
      <c r="AH16" s="334"/>
      <c r="AI16" s="334"/>
      <c r="AJ16" s="334"/>
      <c r="AK16" s="334"/>
      <c r="AL16" s="479"/>
      <c r="AM16" s="335">
        <f>IF(ISNUMBER(Datos!R16),Datos!R16," - ")</f>
        <v>127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59</v>
      </c>
      <c r="BD16" s="229">
        <f>IF(ISNUMBER(Datos!N16),Datos!N16," - ")</f>
        <v>129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0.7774566473988439</v>
      </c>
      <c r="BH16" s="260">
        <f>IF(ISNUMBER(((IF(D_I="SI",Datos!L16/Datos!K16,(Datos!L16+Datos!AF16)/(Datos!K16+Datos!AE16)))*11)/factor_trimestre),((IF(D_I="SI",Datos!L16/Datos!K16,(Datos!L16+Datos!AF16)/(Datos!K16+Datos!AE16)))*11)/factor_trimestre," - ")</f>
        <v>12.457249070631972</v>
      </c>
      <c r="BI16" s="243">
        <f>IF(ISNUMBER('Resol  Asuntos'!D16/NºAsuntos!G16),'Resol  Asuntos'!D16/NºAsuntos!G16," - ")</f>
        <v>0.21933085501858737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94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0.77777777777777779</v>
      </c>
      <c r="BH17" s="260">
        <f>IF(ISNUMBER(((IF(D_I="SI",Datos!L17/Datos!K17,(Datos!L17+Datos!AF17)/(Datos!K17+Datos!AE17)))*11)/factor_trimestre),((IF(D_I="SI",Datos!L17/Datos!K17,(Datos!L17+Datos!AF17)/(Datos!K17+Datos!AE17)))*11)/factor_trimestre," - ")</f>
        <v>10.071428571428573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1040</v>
      </c>
      <c r="G18" s="898">
        <f>SUBTOTAL(9,G15:G17)</f>
        <v>1126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297</v>
      </c>
      <c r="AC18" s="899">
        <f t="shared" si="4"/>
        <v>8</v>
      </c>
      <c r="AD18" s="899">
        <f t="shared" si="4"/>
        <v>0</v>
      </c>
      <c r="AE18" s="899">
        <f t="shared" si="4"/>
        <v>0</v>
      </c>
      <c r="AF18" s="899">
        <f t="shared" si="4"/>
        <v>1211</v>
      </c>
      <c r="AG18" s="899">
        <f t="shared" si="4"/>
        <v>0</v>
      </c>
      <c r="AH18" s="899">
        <f t="shared" si="4"/>
        <v>0</v>
      </c>
      <c r="AI18" s="899">
        <f t="shared" si="4"/>
        <v>0</v>
      </c>
      <c r="AJ18" s="899">
        <f t="shared" si="4"/>
        <v>0</v>
      </c>
      <c r="AK18" s="899">
        <f t="shared" si="4"/>
        <v>0</v>
      </c>
      <c r="AL18" s="899">
        <f t="shared" si="4"/>
        <v>0</v>
      </c>
      <c r="AM18" s="899">
        <f t="shared" si="4"/>
        <v>130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59</v>
      </c>
      <c r="BD18" s="899">
        <f t="shared" si="4"/>
        <v>143</v>
      </c>
      <c r="BE18" s="899">
        <f t="shared" si="4"/>
        <v>0</v>
      </c>
      <c r="BF18" s="899">
        <f t="shared" si="4"/>
        <v>0</v>
      </c>
      <c r="BG18" s="899">
        <f>IF(ISNUMBER(Datos!K18/Datos!J18),Datos!K18/Datos!J18," - ")</f>
        <v>0.77748691099476441</v>
      </c>
      <c r="BH18" s="903">
        <f>IF(ISNUMBER(((Datos!L18/Datos!K18)*11)/factor_trimestre),((Datos!L18/Datos!K18)*11)/factor_trimestre," - ")</f>
        <v>12.232323232323234</v>
      </c>
      <c r="BI18" s="899">
        <f>SUBTOTAL(9,BI15:BI17)</f>
        <v>0.21933085501858737</v>
      </c>
      <c r="BJ18" s="899">
        <f>SUBTOTAL(9,BJ15:BJ17)</f>
        <v>0</v>
      </c>
      <c r="BK18" s="899">
        <f>SUBTOTAL(9,BK15:BK17)</f>
        <v>0</v>
      </c>
      <c r="BL18" s="899">
        <f>IF(ISNUMBER((I18-AB18+L18)/(F18)),(I18-AB18+L18)/(F18)," - ")</f>
        <v>-0.28557692307692306</v>
      </c>
      <c r="BM18" s="905">
        <f>IF(ISNUMBER((Datos!P18-Datos!Q18)/(Datos!R18-Datos!P18+Datos!Q18)),(Datos!P18-Datos!Q18)/(Datos!R18-Datos!P18+Datos!Q18)," - ")</f>
        <v>9.2436974789915971E-2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1059</v>
      </c>
      <c r="G19" s="820">
        <f t="shared" si="6"/>
        <v>1145</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114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297</v>
      </c>
      <c r="AC19" s="821">
        <f t="shared" si="7"/>
        <v>57</v>
      </c>
      <c r="AD19" s="821">
        <f t="shared" si="7"/>
        <v>0</v>
      </c>
      <c r="AE19" s="821">
        <f t="shared" si="7"/>
        <v>0</v>
      </c>
      <c r="AF19" s="828">
        <f t="shared" si="7"/>
        <v>1233</v>
      </c>
      <c r="AG19" s="828">
        <f t="shared" si="7"/>
        <v>0</v>
      </c>
      <c r="AH19" s="828">
        <f t="shared" si="7"/>
        <v>49</v>
      </c>
      <c r="AI19" s="828">
        <f t="shared" si="7"/>
        <v>0</v>
      </c>
      <c r="AJ19" s="821">
        <f t="shared" si="7"/>
        <v>0</v>
      </c>
      <c r="AK19" s="828">
        <f t="shared" si="7"/>
        <v>0</v>
      </c>
      <c r="AL19" s="828">
        <f t="shared" si="7"/>
        <v>0</v>
      </c>
      <c r="AM19" s="828">
        <f t="shared" si="7"/>
        <v>1706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234</v>
      </c>
      <c r="BD19" s="820">
        <f t="shared" si="7"/>
        <v>311</v>
      </c>
      <c r="BE19" s="820">
        <f t="shared" si="7"/>
        <v>0</v>
      </c>
      <c r="BF19" s="830">
        <f t="shared" si="7"/>
        <v>0</v>
      </c>
      <c r="BG19" s="915">
        <f>IF(ISNUMBER(Datos!K19/Datos!J19),Datos!K19/Datos!J19," - ")</f>
        <v>0.86363636363636365</v>
      </c>
      <c r="BH19" s="915">
        <f>IF(ISNUMBER(((Datos!L19/Datos!K19)*11)/factor_trimestre),((Datos!L19/Datos!K19)*11)/factor_trimestre," - ")</f>
        <v>13.965373961218837</v>
      </c>
      <c r="BI19" s="813">
        <f>IF(ISNUMBER(Datos!J19/Datos!I19),Datos!J19/Datos!I19," - ")</f>
        <v>0.25746843239913769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-0.28045325779036828</v>
      </c>
      <c r="BM19" s="889">
        <f>IF(ISNUMBER((Datos!P19-Datos!Q19+R19)/(Datos!R19-Datos!P19+Datos!Q19-R19)),(Datos!P19-Datos!Q19+R19)/(Datos!R19-Datos!P19+Datos!Q19-R19)," - ")</f>
        <v>3.4566403881140087E-2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589.47462484260791</v>
      </c>
      <c r="G21" s="552">
        <f>IF(ISNUMBER(STDEV(G8:G18)),STDEV(G8:G18),"-")</f>
        <v>572.00830413552569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150.6542399005086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79.634163522950374</v>
      </c>
      <c r="BD21" s="551"/>
      <c r="BE21" s="551">
        <f>IF(ISNUMBER(STDEV(BE8:BE18)),STDEV(BE8:BE18),"-")</f>
        <v>0</v>
      </c>
      <c r="BF21" s="556">
        <f>IF(ISNUMBER(STDEV(BF8:BF18)),STDEV(BF8:BF18),"-")</f>
        <v>0</v>
      </c>
      <c r="BG21" s="775">
        <f>IF(ISNUMBER(STDEV(BG8:BG18)),STDEV(BG8:BG18),"-")</f>
        <v>0.35355588318681491</v>
      </c>
      <c r="BH21" s="776">
        <f>IF(ISNUMBER(STDEV(BH8:BH18)),STDEV(BH8:BH18),"-")</f>
        <v>2.0201284433002527</v>
      </c>
      <c r="BI21" s="249">
        <f>IF(ISNUMBER(STDEV(BI8:BI18)),STDEV(BI8:BI18),"-")</f>
        <v>0.1590841522384627</v>
      </c>
      <c r="BJ21" s="230" t="str">
        <f>IF(ISNUMBER(BL21/BM21),BL21/BM21," - ")</f>
        <v xml:space="preserve"> - </v>
      </c>
      <c r="BK21" s="575"/>
      <c r="BL21" s="559">
        <f>IF(ISNUMBER(STDEV(BL8:BL18)),STDEV(BL8:BL18),"-")</f>
        <v>0.20193337885808135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6c7G+P37DwPGBZIefdPzax9VPToWWZI7uSepZesa0T280qb9qhgiKhmJrNY7QUe3N/wtdgy+/Z+r+VBOT+f1/A==" saltValue="aQFOCjTNxx1FaJBRmLuk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MARIN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22</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v>
      </c>
      <c r="AA12" s="332" t="str">
        <f>IF(ISNUMBER(IF(J_V="SI",Datos!L12,Datos!L12+Datos!AB12)-IF(Monitorios="SI",Datos!CD12,0)),
                          IF(J_V="SI",Datos!L12,Datos!L12+Datos!AB12)-IF(Monitorios="SI",Datos!CD12,0),
                          " - ")</f>
        <v xml:space="preserve"> - </v>
      </c>
      <c r="AB12" s="334"/>
      <c r="AC12" s="334"/>
      <c r="AD12" s="484"/>
      <c r="AE12" s="484">
        <f>IF(ISNUMBER(Datos!R12),Datos!R12," - ")</f>
        <v>1569</v>
      </c>
      <c r="AF12" s="229" t="str">
        <f>IF(ISNUMBER(Datos!BV12),Datos!BV12," - ")</f>
        <v xml:space="preserve"> - </v>
      </c>
      <c r="AG12" s="225" t="str">
        <f>IF(ISNUMBER(Datos!DV12),Datos!DV12," - ")</f>
        <v xml:space="preserve"> - </v>
      </c>
      <c r="AH12" s="298"/>
      <c r="AI12" s="227"/>
      <c r="AJ12" s="225">
        <f>IF(ISNUMBER(Datos!M12),Datos!M12," - ")</f>
        <v>175</v>
      </c>
      <c r="AK12" s="229">
        <f>IF(ISNUMBER(Datos!N12),Datos!N12," - ")</f>
        <v>168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14.481152993348116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2.952755905511811E-2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49</v>
      </c>
      <c r="AA13" s="900">
        <f t="shared" si="2"/>
        <v>22</v>
      </c>
      <c r="AB13" s="900">
        <f t="shared" si="2"/>
        <v>0</v>
      </c>
      <c r="AC13" s="900">
        <f t="shared" si="2"/>
        <v>0</v>
      </c>
      <c r="AD13" s="900">
        <f t="shared" si="2"/>
        <v>0</v>
      </c>
      <c r="AE13" s="900">
        <f t="shared" si="2"/>
        <v>1576</v>
      </c>
      <c r="AF13" s="908">
        <f t="shared" si="2"/>
        <v>0</v>
      </c>
      <c r="AG13" s="908">
        <f t="shared" si="2"/>
        <v>0</v>
      </c>
      <c r="AH13" s="908">
        <f t="shared" si="2"/>
        <v>0</v>
      </c>
      <c r="AI13" s="908">
        <f t="shared" si="2"/>
        <v>0</v>
      </c>
      <c r="AJ13" s="908">
        <f t="shared" si="2"/>
        <v>175</v>
      </c>
      <c r="AK13" s="908">
        <f t="shared" si="2"/>
        <v>168</v>
      </c>
      <c r="AL13" s="908">
        <f t="shared" si="2"/>
        <v>0</v>
      </c>
      <c r="AM13" s="908">
        <f t="shared" si="2"/>
        <v>0</v>
      </c>
      <c r="AN13" s="908">
        <f t="shared" si="2"/>
        <v>0</v>
      </c>
      <c r="AO13" s="904">
        <f>IF(ISNUMBER(((NºAsuntos!I13/NºAsuntos!G13)*11)/factor_trimestre),((NºAsuntos!I13/NºAsuntos!G13)*11)/factor_trimestre," - ")</f>
        <v>14.627494456762749</v>
      </c>
      <c r="AP13" s="910" t="str">
        <f>IF(ISNUMBER(Datos!CI13/Datos!CJ13),Datos!CI13/Datos!CJ13," - ")</f>
        <v xml:space="preserve"> - </v>
      </c>
      <c r="AQ13" s="928">
        <f t="shared" ref="AQ13:AV13" si="3">SUBTOTAL(9,AQ9:AQ12)</f>
        <v>0</v>
      </c>
      <c r="AR13" s="928">
        <f t="shared" si="3"/>
        <v>0.19619422572178477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1040</v>
      </c>
      <c r="G16" s="225">
        <f>IF(ISNUMBER(IF(D_I="SI",Datos!I16,Datos!I16+Datos!AC16)),IF(D_I="SI",Datos!I16,Datos!I16+Datos!AC16)," - ")</f>
        <v>1040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269</v>
      </c>
      <c r="Z16" s="619">
        <f>IF(ISNUMBER(Datos!Q16),Datos!Q16," - ")</f>
        <v>8</v>
      </c>
      <c r="AA16" s="332">
        <f>IF(ISNUMBER(IF(D_I="SI",Datos!L16,Datos!L16+Datos!AF16)),IF(D_I="SI",Datos!L16,Datos!L16+Datos!AF16)," - ")</f>
        <v>1117</v>
      </c>
      <c r="AB16" s="334"/>
      <c r="AC16" s="334"/>
      <c r="AD16" s="484"/>
      <c r="AE16" s="484">
        <f>IF(ISNUMBER(Datos!R16),Datos!R16," - ")</f>
        <v>127</v>
      </c>
      <c r="AF16" s="229" t="str">
        <f>IF(ISNUMBER(Datos!BV16),Datos!BV16," - ")</f>
        <v xml:space="preserve"> - </v>
      </c>
      <c r="AG16" s="225"/>
      <c r="AH16" s="298"/>
      <c r="AI16" s="227"/>
      <c r="AJ16" s="225">
        <f>IF(ISNUMBER(Datos!M16),Datos!M16," - ")</f>
        <v>59</v>
      </c>
      <c r="AK16" s="229">
        <f>IF(ISNUMBER(Datos!N16),Datos!N16," - ")</f>
        <v>129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12.457249070631972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94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0</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10.071428571428573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1040</v>
      </c>
      <c r="G18" s="898">
        <f>SUBTOTAL(9,G15:G17)</f>
        <v>1126</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297</v>
      </c>
      <c r="Z18" s="932">
        <f t="shared" si="5"/>
        <v>8</v>
      </c>
      <c r="AA18" s="932">
        <f t="shared" si="5"/>
        <v>1211</v>
      </c>
      <c r="AB18" s="932">
        <f t="shared" si="5"/>
        <v>0</v>
      </c>
      <c r="AC18" s="932">
        <f t="shared" si="5"/>
        <v>0</v>
      </c>
      <c r="AD18" s="932">
        <f t="shared" si="5"/>
        <v>0</v>
      </c>
      <c r="AE18" s="932">
        <f t="shared" si="5"/>
        <v>130</v>
      </c>
      <c r="AF18" s="932">
        <f t="shared" si="5"/>
        <v>0</v>
      </c>
      <c r="AG18" s="932">
        <f t="shared" si="5"/>
        <v>0</v>
      </c>
      <c r="AH18" s="932">
        <f t="shared" si="5"/>
        <v>0</v>
      </c>
      <c r="AI18" s="932">
        <f t="shared" si="5"/>
        <v>0</v>
      </c>
      <c r="AJ18" s="932">
        <f t="shared" si="5"/>
        <v>59</v>
      </c>
      <c r="AK18" s="932">
        <f t="shared" si="5"/>
        <v>143</v>
      </c>
      <c r="AL18" s="932">
        <f t="shared" si="5"/>
        <v>0</v>
      </c>
      <c r="AM18" s="932">
        <f t="shared" si="5"/>
        <v>0</v>
      </c>
      <c r="AN18" s="932">
        <f t="shared" si="5"/>
        <v>0</v>
      </c>
      <c r="AO18" s="934">
        <f>IF(ISNUMBER(((NºAsuntos!I18/NºAsuntos!G18)*11)/factor_trimestre),((NºAsuntos!I18/NºAsuntos!G18)*11)/factor_trimestre," - ")</f>
        <v>12.232323232323234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1059</v>
      </c>
      <c r="G19" s="820">
        <f t="shared" si="7"/>
        <v>1145</v>
      </c>
      <c r="H19" s="821">
        <f t="shared" si="7"/>
        <v>0</v>
      </c>
      <c r="I19" s="820">
        <f t="shared" si="7"/>
        <v>0</v>
      </c>
      <c r="J19" s="822">
        <f t="shared" si="7"/>
        <v>0</v>
      </c>
      <c r="K19" s="820">
        <f t="shared" si="7"/>
        <v>0</v>
      </c>
      <c r="L19" s="823">
        <f t="shared" si="7"/>
        <v>0</v>
      </c>
      <c r="M19" s="820">
        <f t="shared" si="7"/>
        <v>0</v>
      </c>
      <c r="N19" s="821">
        <f t="shared" si="7"/>
        <v>114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297</v>
      </c>
      <c r="Z19" s="827">
        <f t="shared" si="8"/>
        <v>57</v>
      </c>
      <c r="AA19" s="828">
        <f t="shared" si="8"/>
        <v>1233</v>
      </c>
      <c r="AB19" s="828">
        <f t="shared" si="8"/>
        <v>0</v>
      </c>
      <c r="AC19" s="828">
        <f t="shared" si="8"/>
        <v>0</v>
      </c>
      <c r="AD19" s="829">
        <f t="shared" si="8"/>
        <v>0</v>
      </c>
      <c r="AE19" s="829">
        <f t="shared" si="8"/>
        <v>1706</v>
      </c>
      <c r="AF19" s="830">
        <f t="shared" si="8"/>
        <v>0</v>
      </c>
      <c r="AG19" s="831">
        <f t="shared" si="8"/>
        <v>0</v>
      </c>
      <c r="AH19" s="832">
        <f t="shared" si="8"/>
        <v>0</v>
      </c>
      <c r="AI19" s="830">
        <f t="shared" si="8"/>
        <v>0</v>
      </c>
      <c r="AJ19" s="820">
        <f t="shared" si="8"/>
        <v>234</v>
      </c>
      <c r="AK19" s="820">
        <f t="shared" si="8"/>
        <v>311</v>
      </c>
      <c r="AL19" s="820">
        <f t="shared" si="8"/>
        <v>0</v>
      </c>
      <c r="AM19" s="833">
        <f t="shared" si="8"/>
        <v>0</v>
      </c>
      <c r="AN19" s="823">
        <f>IF(ISNUMBER(Datos!K19/Datos!J19),Datos!K19/Datos!J19," - ")</f>
        <v>0.86363636363636365</v>
      </c>
      <c r="AO19" s="823">
        <f>IF(ISNUMBER(FIND("06",Criterios!A8,1)),(IF(ISNUMBER(((Datos!R19/Datos!Q19)*11)/factor_trimestre),((Datos!R19/Datos!Q19)*11)/factor_trimestre," - ")),(IF(ISNUMBER(((Datos!L19/Datos!K19)*11)/factor_trimestre),((Datos!L19/Datos!K19)*11)/factor_trimestre," - ")))</f>
        <v>13.965373961218837</v>
      </c>
      <c r="AP19" s="834" t="str">
        <f>IF(ISNUMBER(Datos!CI19/Datos!CJ19),Datos!CI19/Datos!CJ19," - ")</f>
        <v xml:space="preserve"> - </v>
      </c>
      <c r="AQ19" s="834">
        <f>IF(OR(ISNUMBER(FIND("01",Criterios!A8,1)),ISNUMBER(FIND("02",Criterios!A8,1)),ISNUMBER(FIND("03",Criterios!A8,1)),ISNUMBER(FIND("04",Criterios!A8,1))),(J19-Y19+K19)/(F19-K19),(I19-Y19+K19)/(F19-K19))</f>
        <v>-0.28045325779036828</v>
      </c>
      <c r="AR19" s="834">
        <f>IF(ISNUMBER((Datos!P19-Datos!Q19+O19)/(Datos!R19-Datos!P19+Datos!Q19-O19)),(Datos!P19-Datos!Q19+O19)/(Datos!R19-Datos!P19+Datos!Q19-O19)," - ")</f>
        <v>3.4566403881140087E-2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589.47462484260791</v>
      </c>
      <c r="G21" s="552">
        <f>IF(ISNUMBER(STDEV(G8:G18)),STDEV(G8:G18),"-")</f>
        <v>572.00830413552569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79.634163522950374</v>
      </c>
      <c r="AK21" s="252"/>
      <c r="AL21" s="252">
        <f>IF(ISNUMBER(STDEV(AL8:AL18)),STDEV(AL8:AL18),"-")</f>
        <v>0</v>
      </c>
      <c r="AM21" s="254">
        <f>IF(ISNUMBER(STDEV(AM8:AM18)),STDEV(AM8:AM18),"-")</f>
        <v>0</v>
      </c>
      <c r="AN21" s="539">
        <f>IF(ISNUMBER(STDEV(AN8:AN18)),STDEV(AN8:AN18),"-")</f>
        <v>0</v>
      </c>
      <c r="AO21" s="540">
        <f>IF(ISNUMBER(STDEV(AO8:AO18)),STDEV(AO8:AO18),"-")</f>
        <v>1.8739964125925914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VVOmW/EaZ6T4Pgd1Io7v4P7NkqsdWgm/7LGaNtmklLjaFQVn24lFIpYv301X33EY1Sn73XMZvU2G455u2uY6xQ==" saltValue="8d2bRVFlE/sHh5OH0DH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1KBeYIATfhQKb0Ahu7WOKmELhd/mt7kTTgUWTcY49Grs8UVfd2JRyxgi53MpoWQrv1oXkGy1m+7adwoP2GLOqg==" saltValue="TEa1tyc363Ya8/qp8svQ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egwP7+HMdXnGFvTctZsY2QsJJVG3Da1gnpwdrLeB+3Wue6WVGpeKtp1Zm2XyqEoYPhiBtag/clfiMriEzmB+Q==" saltValue="Z+5iglThTalkj4umEX1j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MARIN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0.38802660753880264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0.27437624547149847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ymFdFPQ14eJuASwh29G4WEmBHnylZCnug/FOWccQ9evCK0WkH1h05aJ3iDlVAM8S86MMgv9JXDrA3dUIVmo6kg==" saltValue="4oK3jNUwq+DY8YuaBz0K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cfO+As4riPksVvT//46c+Ll23a+nFq4J2bNRrfzL8tZSpD530eEz9xdx6es3cKbtni/jjPYs8CvGq4tBPPGzQ==" saltValue="TAkeeiyvE7BE7u9CYvHH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MARIN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v>
      </c>
      <c r="D10" s="404">
        <f>IF(ISNUMBER(C10/Datos!BH10),C10/Datos!BH10," - ")</f>
        <v>19</v>
      </c>
      <c r="E10" s="403">
        <f>IF(ISNUMBER(Datos!J10),Datos!J10," - ")</f>
        <v>3</v>
      </c>
      <c r="F10" s="404">
        <f>IF(ISNUMBER(E10/B10),E10/B10," - ")</f>
        <v>3</v>
      </c>
      <c r="G10" s="403">
        <f>IF(ISNUMBER(Datos!K10),Datos!K10," - ")</f>
        <v>0</v>
      </c>
      <c r="H10" s="404">
        <f>IF(ISNUMBER(G10/B10),G10/B10," - ")</f>
        <v>0</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2152</v>
      </c>
      <c r="D12" s="404">
        <f>IF(ISNUMBER(C12/Datos!BH12),C12/Datos!BH12," - ")</f>
        <v>1076</v>
      </c>
      <c r="E12" s="403">
        <f>IF(ISNUMBER(IF(J_V="SI",Datos!J12,Datos!J12+Datos!Z12)),IF(J_V="SI",Datos!J12,Datos!J12+Datos!Z12)," - ")</f>
        <v>476</v>
      </c>
      <c r="F12" s="404">
        <f>IF(ISNUMBER(E12/B12),E12/B12," - ")</f>
        <v>238</v>
      </c>
      <c r="G12" s="403">
        <f>IF(ISNUMBER(IF(J_V="SI",Datos!K12,Datos!K12+Datos!AA12)),IF(J_V="SI",Datos!K12,Datos!K12+Datos!AA12)," - ")</f>
        <v>451</v>
      </c>
      <c r="H12" s="404">
        <f>IF(ISNUMBER(G12/B12),G12/B12," - ")</f>
        <v>225.5</v>
      </c>
      <c r="I12" s="403">
        <f>IF(ISNUMBER(IF(J_V="SI",Datos!L12,Datos!L12+Datos!AB12)),IF(J_V="SI",Datos!L12,Datos!L12+Datos!AB12)," - ")</f>
        <v>2177</v>
      </c>
      <c r="J12" s="404">
        <f>IF(ISNUMBER(I12/B12),I12/B12," - ")</f>
        <v>1088.5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2171</v>
      </c>
      <c r="D13" s="850" t="str">
        <f>IF(ISNUMBER(C13/Datos!BI13),C13/Datos!BI13," - ")</f>
        <v xml:space="preserve"> - </v>
      </c>
      <c r="E13" s="849">
        <f>SUBTOTAL(9,E8:E12)</f>
        <v>479</v>
      </c>
      <c r="F13" s="850">
        <f>IF(ISNUMBER(E13/B13),E13/B13," - ")</f>
        <v>239.5</v>
      </c>
      <c r="G13" s="849">
        <f>SUBTOTAL(9,G8:G12)</f>
        <v>451</v>
      </c>
      <c r="H13" s="850">
        <f>IF(ISNUMBER(G13/B13),G13/B13," - ")</f>
        <v>225.5</v>
      </c>
      <c r="I13" s="849">
        <f>SUBTOTAL(9,I8:I12)</f>
        <v>2199</v>
      </c>
      <c r="J13" s="850">
        <f>IF(ISNUMBER(I13/B13),I13/B13," - ")</f>
        <v>1099.5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1040</v>
      </c>
      <c r="D16" s="404">
        <f>IF(ISNUMBER(C16/Datos!BH16),C16/Datos!BH16," - ")</f>
        <v>520</v>
      </c>
      <c r="E16" s="403">
        <f>IF(ISNUMBER(IF(D_I="SI",Datos!J16,Datos!J16+Datos!AD16)),IF(D_I="SI",Datos!J16,Datos!J16+Datos!AD16)," - ")</f>
        <v>346</v>
      </c>
      <c r="F16" s="404">
        <f>IF(ISNUMBER(E16/B16),E16/B16," - ")</f>
        <v>173</v>
      </c>
      <c r="G16" s="403">
        <f>IF(ISNUMBER(IF(D_I="SI",Datos!K16,Datos!K16+Datos!AE16)),IF(D_I="SI",Datos!K16,Datos!K16+Datos!AE16)," - ")</f>
        <v>269</v>
      </c>
      <c r="H16" s="404">
        <f>IF(ISNUMBER(G16/B16),G16/B16," - ")</f>
        <v>134.5</v>
      </c>
      <c r="I16" s="403">
        <f>IF(ISNUMBER(IF(D_I="SI",Datos!L16,Datos!L16+Datos!AF16)),IF(D_I="SI",Datos!L16,Datos!L16+Datos!AF16)," - ")</f>
        <v>1117</v>
      </c>
      <c r="J16" s="404">
        <f>IF(ISNUMBER(I16/B16),I16/B16," - ")</f>
        <v>558.5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86</v>
      </c>
      <c r="D17" s="404">
        <f>IF(ISNUMBER(C17/Datos!BH17),C17/Datos!BH17," - ")</f>
        <v>86</v>
      </c>
      <c r="E17" s="403">
        <f>IF(ISNUMBER(IF(D_I="SI",Datos!J17,Datos!J17+Datos!AD17)),IF(D_I="SI",Datos!J17,Datos!J17+Datos!AD17)," - ")</f>
        <v>36</v>
      </c>
      <c r="F17" s="404">
        <f>IF(ISNUMBER(E17/B17),E17/B17," - ")</f>
        <v>36</v>
      </c>
      <c r="G17" s="403">
        <f>IF(ISNUMBER(IF(D_I="SI",Datos!K17,Datos!K17+Datos!AE17)),IF(D_I="SI",Datos!K17,Datos!K17+Datos!AE17)," - ")</f>
        <v>28</v>
      </c>
      <c r="H17" s="404">
        <f>IF(ISNUMBER(G17/B17),G17/B17," - ")</f>
        <v>28</v>
      </c>
      <c r="I17" s="403">
        <f>IF(ISNUMBER(IF(D_I="SI",Datos!L17,Datos!L17+Datos!AF17)),IF(D_I="SI",Datos!L17,Datos!L17+Datos!AF17)," - ")</f>
        <v>94</v>
      </c>
      <c r="J17" s="404">
        <f>IF(ISNUMBER(I17/B17),I17/B17," - ")</f>
        <v>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1126</v>
      </c>
      <c r="D18" s="850" t="str">
        <f>IF(ISNUMBER(C18/Datos!BI18),C18/Datos!BI18," - ")</f>
        <v xml:space="preserve"> - </v>
      </c>
      <c r="E18" s="849">
        <f>SUBTOTAL(9,E14:E17)</f>
        <v>382</v>
      </c>
      <c r="F18" s="850">
        <f>IF(ISNUMBER(E18/B18),E18/B18," - ")</f>
        <v>191</v>
      </c>
      <c r="G18" s="849">
        <f>SUBTOTAL(9,G14:G17)</f>
        <v>297</v>
      </c>
      <c r="H18" s="850">
        <f>IF(ISNUMBER(G18/B18),G18/B18," - ")</f>
        <v>148.5</v>
      </c>
      <c r="I18" s="849">
        <f>SUBTOTAL(9,I14:I17)</f>
        <v>1211</v>
      </c>
      <c r="J18" s="850">
        <f>IF(ISNUMBER(I18/B18),I18/B18," - ")</f>
        <v>605.5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3297</v>
      </c>
      <c r="D19" s="795" t="str">
        <f>IF(ISNUMBER(C19/Datos!BI19),C19/Datos!BI19," - ")</f>
        <v xml:space="preserve"> - </v>
      </c>
      <c r="E19" s="794">
        <f>SUBTOTAL(9,E9:E18)</f>
        <v>861</v>
      </c>
      <c r="F19" s="795">
        <f>IF(ISNUMBER(E19/B19),E19/B19," - ")</f>
        <v>430.5</v>
      </c>
      <c r="G19" s="794">
        <f>SUBTOTAL(9,G9:G18)</f>
        <v>748</v>
      </c>
      <c r="H19" s="795">
        <f>IF(ISNUMBER(G19/B19),G19/B19," - ")</f>
        <v>374</v>
      </c>
      <c r="I19" s="794">
        <f>SUBTOTAL(9,I9:I18)</f>
        <v>3410</v>
      </c>
      <c r="J19" s="795">
        <f>IF(ISNUMBER(I19/B19),I19/B19," - ")</f>
        <v>1705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pXTswkDSV8OPPhcqzQBGFaEv8dpZf9zRfS3TiQHMbqDx508uG3NwRhv8N0Bbzhp9WxfujeP8/E/V0TES51WczA==" saltValue="l0sGJSWPkgbzPvgMIANS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MARIN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175</v>
      </c>
      <c r="AM12" s="690">
        <f>IF(ISNUMBER(Datos!N12+DatosP!N16),Datos!N12+DatosP!N16," - ")</f>
        <v>168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14.481152993348116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2.952755905511811E-2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49</v>
      </c>
      <c r="AE13" s="939">
        <f t="shared" si="1"/>
        <v>0</v>
      </c>
      <c r="AF13" s="939">
        <f t="shared" si="1"/>
        <v>22</v>
      </c>
      <c r="AG13" s="939">
        <f t="shared" si="1"/>
        <v>0</v>
      </c>
      <c r="AH13" s="939">
        <f t="shared" si="1"/>
        <v>1569</v>
      </c>
      <c r="AI13" s="939">
        <f t="shared" si="1"/>
        <v>0</v>
      </c>
      <c r="AJ13" s="939">
        <f t="shared" si="1"/>
        <v>0</v>
      </c>
      <c r="AK13" s="939">
        <f t="shared" si="1"/>
        <v>0</v>
      </c>
      <c r="AL13" s="939">
        <f t="shared" si="1"/>
        <v>175</v>
      </c>
      <c r="AM13" s="939">
        <f t="shared" si="1"/>
        <v>168</v>
      </c>
      <c r="AN13" s="939">
        <f t="shared" si="1"/>
        <v>0</v>
      </c>
      <c r="AO13" s="939">
        <f t="shared" si="1"/>
        <v>0</v>
      </c>
      <c r="AP13" s="944">
        <f>IF(ISNUMBER(((Datos!L13/Datos!K13)*11)/factor_trimestre),((Datos!L13/Datos!K13)*11)/factor_trimestre," - ")</f>
        <v>15.176470588235293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2.952755905511811E-2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12.232323232323234</v>
      </c>
      <c r="AQ18" s="944">
        <f>IF(ISNUMBER(((Datos!M18/Datos!L18)*11)/factor_trimestre),((Datos!M18/Datos!L18)*11)/factor_trimestre," - ")</f>
        <v>0.14616019818331957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9.2436974789915971E-2</v>
      </c>
      <c r="AW18" s="946">
        <f>IF(ISNUMBER((Datos!Q18-Datos!R18)/(Datos!S18-Datos!Q18+Datos!R18)),(Datos!Q18-Datos!R18)/(Datos!S18-Datos!Q18+Datos!R18)," - ")</f>
        <v>-0.1523096129837703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49</v>
      </c>
      <c r="AE19" s="957">
        <f t="shared" si="5"/>
        <v>0</v>
      </c>
      <c r="AF19" s="958">
        <f t="shared" si="5"/>
        <v>22</v>
      </c>
      <c r="AG19" s="958">
        <f t="shared" si="5"/>
        <v>0</v>
      </c>
      <c r="AH19" s="958">
        <f t="shared" si="5"/>
        <v>1569</v>
      </c>
      <c r="AI19" s="958">
        <f t="shared" si="5"/>
        <v>0</v>
      </c>
      <c r="AJ19" s="959">
        <f t="shared" si="5"/>
        <v>0</v>
      </c>
      <c r="AK19" s="959">
        <f t="shared" si="5"/>
        <v>0</v>
      </c>
      <c r="AL19" s="951">
        <f t="shared" si="5"/>
        <v>175</v>
      </c>
      <c r="AM19" s="951">
        <f t="shared" si="5"/>
        <v>168</v>
      </c>
      <c r="AN19" s="951">
        <f t="shared" si="5"/>
        <v>0</v>
      </c>
      <c r="AO19" s="951">
        <f t="shared" si="5"/>
        <v>0</v>
      </c>
      <c r="AP19" s="951">
        <f>IF(ISNUMBER(((Datos!L19/Datos!K19)*11)/factor_trimestre),((Datos!L19/Datos!K19)*11)/factor_trimestre," - ")</f>
        <v>13.965373961218837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3.4566403881140087E-2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101.03629710818451</v>
      </c>
      <c r="AM21" s="736"/>
      <c r="AN21" s="736">
        <f>IF(ISNUMBER(STDEV(AN8:AN18)),STDEV(AN8:AN18),"-")</f>
        <v>0</v>
      </c>
      <c r="AO21" s="742">
        <f>IF(ISNUMBER(STDEV(AO8:AO18)),STDEV(AO8:AO18),"-")</f>
        <v>0</v>
      </c>
      <c r="AP21" s="779">
        <f>IF(ISNUMBER(STDEV(AP8:AP18)),STDEV(AP8:AP18),"-")</f>
        <v>1.5388689301537288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OSnbHRZ41mrequvBSgdnEFxTy4NfQL0vH1YIIjria2SrcBQ04kV/JosLKyj8tWue1I5B3IScjTdY6cY0jVAzFA==" saltValue="+baoAxCUa/W3b94zESpi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MARIN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D3g1jLmY7LFiW8yFbAkeiGFOilH+v8XQncrG1y9LLyVlbXDGi9t7maKTYHbycnMvTAczrIEkVX2O8A4FLQzptw==" saltValue="mam5TlD6RcAPB2GJi6bL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MARIN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175</v>
      </c>
      <c r="E12" s="404">
        <f t="shared" si="0"/>
        <v>87.5</v>
      </c>
      <c r="F12" s="403">
        <f>IF(ISNUMBER(Datos!N12),Datos!N12," - ")</f>
        <v>168</v>
      </c>
      <c r="G12" s="404">
        <f t="shared" si="1"/>
        <v>84</v>
      </c>
      <c r="H12" s="403">
        <f>IF(ISNUMBER(Datos!O12),Datos!O12," - ")</f>
        <v>157</v>
      </c>
      <c r="I12" s="404">
        <f t="shared" si="2"/>
        <v>78.5</v>
      </c>
      <c r="BZ12" s="1186">
        <f>Datos!EZ12</f>
        <v>0</v>
      </c>
    </row>
    <row r="13" spans="1:78" ht="14.25" thickTop="1" thickBot="1">
      <c r="A13" s="848" t="str">
        <f>Datos!A13</f>
        <v>TOTAL</v>
      </c>
      <c r="B13" s="849">
        <f>Datos!AP13</f>
        <v>2</v>
      </c>
      <c r="C13" s="851">
        <f>Datos!AR13</f>
        <v>2</v>
      </c>
      <c r="D13" s="849">
        <f>SUBTOTAL(9,D9:D12)</f>
        <v>175</v>
      </c>
      <c r="E13" s="850">
        <f t="shared" si="0"/>
        <v>87.5</v>
      </c>
      <c r="F13" s="849">
        <f>SUBTOTAL(9,F9:F12)</f>
        <v>168</v>
      </c>
      <c r="G13" s="850">
        <f t="shared" si="1"/>
        <v>84</v>
      </c>
      <c r="H13" s="849">
        <f>SUBTOTAL(9,H9:H12)</f>
        <v>157</v>
      </c>
      <c r="I13" s="850">
        <f>IF(ISNUMBER(H13/B13),H13/B13," - ")</f>
        <v>78.5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59</v>
      </c>
      <c r="E16" s="404">
        <f t="shared" si="3"/>
        <v>29.5</v>
      </c>
      <c r="F16" s="403">
        <f>IF(ISNUMBER(Datos!N16),Datos!N16," - ")</f>
        <v>129</v>
      </c>
      <c r="G16" s="404">
        <f t="shared" si="4"/>
        <v>64.5</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14</v>
      </c>
      <c r="G17" s="404">
        <f>IF(ISNUMBER(F17/B17),F17/B17," - ")</f>
        <v>14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59</v>
      </c>
      <c r="E18" s="850">
        <f t="shared" si="3"/>
        <v>29.5</v>
      </c>
      <c r="F18" s="849">
        <f>SUBTOTAL(9,F15:F17)</f>
        <v>143</v>
      </c>
      <c r="G18" s="850">
        <f t="shared" si="4"/>
        <v>71.5</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234</v>
      </c>
      <c r="E19" s="795">
        <f>IF(ISNUMBER(D19/B19),D19/B19," - ")</f>
        <v>117</v>
      </c>
      <c r="F19" s="794">
        <f>SUBTOTAL(9,F8:F18)</f>
        <v>311</v>
      </c>
      <c r="G19" s="795">
        <f>IF(ISNUMBER(F19/B19),F19/B19," - ")</f>
        <v>155.5</v>
      </c>
      <c r="H19" s="794">
        <f>SUBTOTAL(9,H8:H18)</f>
        <v>163</v>
      </c>
      <c r="I19" s="795">
        <f>IF(ISNUMBER(H19/B19),H19/B19," - ")</f>
        <v>81.5</v>
      </c>
    </row>
    <row r="22" spans="1:78">
      <c r="A22" s="391" t="str">
        <f>Criterios!A4</f>
        <v>Fecha Informe: 25 sep. 2025</v>
      </c>
    </row>
    <row r="27" spans="1:78">
      <c r="A27" s="414"/>
    </row>
  </sheetData>
  <sheetProtection algorithmName="SHA-512" hashValue="y05Pr170XIuAI0KCUSRHBci4yAVGbEJBaGQtBKfl4TxoSSHtamNTYf4545QTLxxLyhMFVN2eKzZ9aYCp0/B9NQ==" saltValue="AXTsOQUnfpPLJdbZyb1R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MARIN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94</v>
      </c>
      <c r="C12" s="434">
        <f>IF(ISNUMBER(Datos!Q12),Datos!Q12," - ")</f>
        <v>49</v>
      </c>
      <c r="D12" s="408">
        <f>IF(ISNUMBER(Datos!R12),Datos!R12," - ")</f>
        <v>1569</v>
      </c>
    </row>
    <row r="13" spans="1:4" ht="14.25" thickTop="1" thickBot="1">
      <c r="A13" s="848" t="str">
        <f>Datos!A13</f>
        <v>TOTAL</v>
      </c>
      <c r="B13" s="849">
        <f>SUBTOTAL(9,B9:B12)</f>
        <v>95</v>
      </c>
      <c r="C13" s="853">
        <f>SUBTOTAL(9,C9:C12)</f>
        <v>49</v>
      </c>
      <c r="D13" s="851">
        <f>SUBTOTAL(9,D9:D12)</f>
        <v>1576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8</v>
      </c>
      <c r="D16" s="408">
        <f>IF(ISNUMBER(Datos!R16),Datos!R16," - ")</f>
        <v>127</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19</v>
      </c>
      <c r="C18" s="853">
        <f>SUBTOTAL(9,C15:C17)</f>
        <v>8</v>
      </c>
      <c r="D18" s="851">
        <f>SUBTOTAL(9,D15:D17)</f>
        <v>130</v>
      </c>
    </row>
    <row r="19" spans="1:4" ht="16.5" customHeight="1" thickTop="1" thickBot="1">
      <c r="A19" s="793" t="str">
        <f>Datos!A19</f>
        <v>TOTAL JURISDICCIONES</v>
      </c>
      <c r="B19" s="798">
        <f>SUBTOTAL(9,B8:B18)</f>
        <v>114</v>
      </c>
      <c r="C19" s="799">
        <f>SUBTOTAL(9,C8:C18)</f>
        <v>57</v>
      </c>
      <c r="D19" s="800">
        <f>SUBTOTAL(9,D8:D18)</f>
        <v>1706</v>
      </c>
    </row>
    <row r="20" spans="1:4" ht="7.5" customHeight="1"/>
    <row r="21" spans="1:4" ht="6" customHeight="1"/>
    <row r="22" spans="1:4">
      <c r="A22" s="391" t="str">
        <f>Criterios!A4</f>
        <v>Fecha Informe: 25 sep. 2025</v>
      </c>
    </row>
    <row r="27" spans="1:4">
      <c r="A27" s="414"/>
    </row>
  </sheetData>
  <sheetProtection algorithmName="SHA-512" hashValue="umQso+DLOssw0v3BP0vc8gTdLcP3/8VvoV26k3A18Oy1X32ff+tu/6dbquOnK4hIW3x7fDuCJsBjjy71CCVE4w==" saltValue="zODhr3hS5MRom6TffSOb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MARIN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0.46153846153846156</v>
      </c>
      <c r="C10" s="456">
        <f>IF(ISNUMBER((Datos!J10-Datos!T10)/Datos!T10),(Datos!J10-Datos!T10)/Datos!T10," - ")</f>
        <v>2</v>
      </c>
      <c r="D10" s="456" t="str">
        <f>IF(ISNUMBER((Datos!K10-Datos!U10)/Datos!U10),(Datos!K10-Datos!U10)/Datos!U10," - ")</f>
        <v xml:space="preserve"> - </v>
      </c>
      <c r="E10" s="456">
        <f>IF(ISNUMBER((Datos!L10-Datos!V10)/Datos!V10),(Datos!L10-Datos!V10)/Datos!V10," - ")</f>
        <v>0.5714285714285714</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0.7785123966942149</v>
      </c>
      <c r="C12" s="456">
        <f>IF(ISNUMBER(
   IF(J_V="SI",(Datos!J12-Datos!T12)/Datos!T12,(Datos!J12+Datos!Z12-(Datos!T12+Datos!AH12))/(Datos!T12+Datos!AH12))
     ),IF(J_V="SI",(Datos!J12-Datos!T12)/Datos!T12,(Datos!J12+Datos!Z12-(Datos!T12+Datos!AH12))/(Datos!T12+Datos!AH12))," - ")</f>
        <v>-0.15602836879432624</v>
      </c>
      <c r="D12" s="456">
        <f>IF(ISNUMBER(
   IF(J_V="SI",(Datos!K12-Datos!U12)/Datos!U12,(Datos!K12+Datos!AA12-(Datos!U12+Datos!AI12))/(Datos!U12+Datos!AI12))
     ),IF(J_V="SI",(Datos!K12-Datos!U12)/Datos!U12,(Datos!K12+Datos!AA12-(Datos!U12+Datos!AI12))/(Datos!U12+Datos!AI12))," - ")</f>
        <v>0.29226361031518627</v>
      </c>
      <c r="E12" s="456">
        <f>IF(ISNUMBER(
   IF(J_V="SI",(Datos!L12-Datos!V12)/Datos!V12,(Datos!L12+Datos!AB12-(Datos!V12+Datos!AJ12))/(Datos!V12+Datos!AJ12))
     ),IF(J_V="SI",(Datos!L12-Datos!V12)/Datos!V12,(Datos!L12+Datos!AB12-(Datos!V12+Datos!AJ12))/(Datos!V12+Datos!AJ12))," - ")</f>
        <v>0.51496172581767574</v>
      </c>
      <c r="F12" s="456">
        <f>IF(ISNUMBER((Datos!M12-Datos!W12)/Datos!W12),(Datos!M12-Datos!W12)/Datos!W12," - ")</f>
        <v>1.0348837209302326</v>
      </c>
      <c r="G12" s="457">
        <f>IF(ISNUMBER((Datos!N12-Datos!X12)/Datos!X12),(Datos!N12-Datos!X12)/Datos!X12," - ")</f>
        <v>0</v>
      </c>
      <c r="H12" s="455">
        <f>IF(ISNUMBER(((NºAsuntos!G12/NºAsuntos!E12)-Datos!BD12)/Datos!BD12),((NºAsuntos!G12/NºAsuntos!E12)-Datos!BD12)/Datos!BD12," - ")</f>
        <v>0.53116948785244755</v>
      </c>
      <c r="I12" s="456">
        <f>IF(ISNUMBER(((NºAsuntos!I12/NºAsuntos!G12)-Datos!BE12)/Datos!BE12),((NºAsuntos!I12/NºAsuntos!G12)-Datos!BE12)/Datos!BE12," - ")</f>
        <v>0.17233180113163821</v>
      </c>
      <c r="J12" s="461">
        <f>IF(ISNUMBER((('Resol  Asuntos'!D12/NºAsuntos!G12)-Datos!BF12)/Datos!BF12),(('Resol  Asuntos'!D12/NºAsuntos!G12)-Datos!BF12)/Datos!BF12," - ")</f>
        <v>-0.19392091648189211</v>
      </c>
      <c r="K12" s="462">
        <f>IF(ISNUMBER((((NºAsuntos!C12+NºAsuntos!E12)/NºAsuntos!G12)-Datos!BG12)/Datos!BG12),(((NºAsuntos!C12+NºAsuntos!E12)/NºAsuntos!G12)-Datos!BG12)/Datos!BG12," - ")</f>
        <v>0.14635896179603386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0.7751430907604252</v>
      </c>
      <c r="C13" s="855">
        <f>IF(ISNUMBER(
   IF(J_V="SI",(Datos!J13-Datos!T13)/Datos!T13,(Datos!J13+Datos!Z13-(Datos!T13+Datos!AH13))/(Datos!T13+Datos!AH13))
     ),IF(J_V="SI",(Datos!J13-Datos!T13)/Datos!T13,(Datos!J13+Datos!Z13-(Datos!T13+Datos!AH13))/(Datos!T13+Datos!AH13))," - ")</f>
        <v>-0.15221238938053097</v>
      </c>
      <c r="D13" s="855">
        <f>IF(ISNUMBER(
   IF(J_V="SI",(Datos!K13-Datos!U13)/Datos!U13,(Datos!K13+Datos!AA13-(Datos!U13+Datos!AI13))/(Datos!U13+Datos!AI13))
     ),IF(J_V="SI",(Datos!K13-Datos!U13)/Datos!U13,(Datos!K13+Datos!AA13-(Datos!U13+Datos!AI13))/(Datos!U13+Datos!AI13))," - ")</f>
        <v>0.29226361031518627</v>
      </c>
      <c r="E13" s="855">
        <f>IF(ISNUMBER(
   IF(J_V="SI",(Datos!L13-Datos!V13)/Datos!V13,(Datos!L13+Datos!AB13-(Datos!V13+Datos!AJ13))/(Datos!V13+Datos!AJ13))
     ),IF(J_V="SI",(Datos!L13-Datos!V13)/Datos!V13,(Datos!L13+Datos!AB13-(Datos!V13+Datos!AJ13))/(Datos!V13+Datos!AJ13))," - ")</f>
        <v>0.5155065472088215</v>
      </c>
      <c r="F13" s="856">
        <f>IF(ISNUMBER((Datos!M13-Datos!W13)/Datos!W13),(Datos!M13-Datos!W13)/Datos!W13," - ")</f>
        <v>1.0348837209302326</v>
      </c>
      <c r="G13" s="857">
        <f>IF(ISNUMBER((Datos!N13-Datos!X13)/Datos!X13),(Datos!N13-Datos!X13)/Datos!X13," - ")</f>
        <v>0</v>
      </c>
      <c r="H13" s="857">
        <f>IF(ISNUMBER(((NºAsuntos!G13/NºAsuntos!E13)-Datos!BD13)/Datos!BD13),((NºAsuntos!G13/NºAsuntos!E13)-Datos!BD13)/Datos!BD13," - ")</f>
        <v>0.52427753617553285</v>
      </c>
      <c r="I13" s="857">
        <f>IF(ISNUMBER(((NºAsuntos!I13/NºAsuntos!G13)-Datos!BE13)/Datos!BE13),((NºAsuntos!I13/NºAsuntos!G13)-Datos!BE13)/Datos!BE13," - ")</f>
        <v>0.17275340349418775</v>
      </c>
      <c r="J13" s="857">
        <f>IF(ISNUMBER((('Resol  Asuntos'!D13/NºAsuntos!G13)-Datos!BF13)/Datos!BF13),(('Resol  Asuntos'!D13/NºAsuntos!G13)-Datos!BF13)/Datos!BF13," - ")</f>
        <v>-0.19392091648189211</v>
      </c>
      <c r="K13" s="857">
        <f>IF(ISNUMBER((((NºAsuntos!C13+NºAsuntos!E13)/NºAsuntos!G13)-Datos!BG13)/Datos!BG13),(((NºAsuntos!C13+NºAsuntos!E13)/NºAsuntos!G13)-Datos!BG13)/Datos!BG13," - ")</f>
        <v>0.14690446782442193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0.69657422512234912</v>
      </c>
      <c r="C16" s="456">
        <f>IF(ISNUMBER(
   IF(D_I="SI",(Datos!J16-Datos!T16)/Datos!T16,(Datos!J16+Datos!AD16-(Datos!T16+Datos!AL16))/(Datos!T16+Datos!AL16))
     ),IF(D_I="SI",(Datos!J16-Datos!T16)/Datos!T16,(Datos!J16+Datos!AD16-(Datos!T16+Datos!AL16))/(Datos!T16+Datos!AL16))," - ")</f>
        <v>0.13442622950819672</v>
      </c>
      <c r="D16" s="456">
        <f>IF(ISNUMBER(
   IF(D_I="SI",(Datos!K16-Datos!U16)/Datos!U16,(Datos!K16+Datos!AE16-(Datos!U16+Datos!AM16))/(Datos!U16+Datos!AM16))
     ),IF(D_I="SI",(Datos!K16-Datos!U16)/Datos!U16,(Datos!K16+Datos!AE16-(Datos!U16+Datos!AM16))/(Datos!U16+Datos!AM16))," - ")</f>
        <v>0.5112359550561798</v>
      </c>
      <c r="E16" s="456">
        <f>IF(ISNUMBER(
   IF(D_I="SI",(Datos!L16-Datos!V16)/Datos!V16,(Datos!L16+Datos!AF16-(Datos!V16+Datos!AN16))/(Datos!V16+Datos!AN16))
     ),IF(D_I="SI",(Datos!L16-Datos!V16)/Datos!V16,(Datos!L16+Datos!AF16-(Datos!V16+Datos!AN16))/(Datos!V16+Datos!AN16))," - ")</f>
        <v>0.4993288590604027</v>
      </c>
      <c r="F16" s="456">
        <f>IF(ISNUMBER((Datos!M16-Datos!W16)/Datos!W16),(Datos!M16-Datos!W16)/Datos!W16," - ")</f>
        <v>0.63888888888888884</v>
      </c>
      <c r="G16" s="457">
        <f>IF(ISNUMBER((Datos!N16-Datos!X16)/Datos!X16),(Datos!N16-Datos!X16)/Datos!X16," - ")</f>
        <v>0.76712328767123283</v>
      </c>
      <c r="H16" s="455">
        <f>IF(ISNUMBER(((NºAsuntos!G16/NºAsuntos!E16)-Datos!BD16)/Datos!BD16),((NºAsuntos!G16/NºAsuntos!E16)-Datos!BD16)/Datos!BD16," - ")</f>
        <v>0.33215886211599666</v>
      </c>
      <c r="I16" s="456">
        <f>IF(ISNUMBER(((NºAsuntos!I16/NºAsuntos!G16)-Datos!BE16)/Datos!BE16),((NºAsuntos!I16/NºAsuntos!G16)-Datos!BE16)/Datos!BE16," - ")</f>
        <v>-7.8790449340085701E-3</v>
      </c>
      <c r="J16" s="461">
        <f>IF(ISNUMBER((('Resol  Asuntos'!D16/NºAsuntos!G16)-Datos!BF16)/Datos!BF16),(('Resol  Asuntos'!D16/NºAsuntos!G16)-Datos!BF16)/Datos!BF16," - ")</f>
        <v>8.446922759190427E-2</v>
      </c>
      <c r="K16" s="462">
        <f>IF(ISNUMBER((((NºAsuntos!C16+NºAsuntos!E16)/NºAsuntos!G16)-Datos!BG16)/Datos!BG16),(((NºAsuntos!C16+NºAsuntos!E16)/NºAsuntos!G16)-Datos!BG16)/Datos!BG16," - ")</f>
        <v>-9.4759093228360893E-4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0.30303030303030304</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0.55555555555555558</v>
      </c>
      <c r="E17" s="456">
        <f>IF(ISNUMBER(
   IF(D_I="SI",(Datos!L17-Datos!V17)/Datos!V17,(Datos!L17+Datos!AF17-(Datos!V17+Datos!AN17))/(Datos!V17+Datos!AN17))
     ),IF(D_I="SI",(Datos!L17-Datos!V17)/Datos!V17,(Datos!L17+Datos!AF17-(Datos!V17+Datos!AN17))/(Datos!V17+Datos!AN17))," - ")</f>
        <v>0.30555555555555558</v>
      </c>
      <c r="F17" s="456">
        <f>IF(ISNUMBER((Datos!M17-Datos!W17)/Datos!W17),(Datos!M17-Datos!W17)/Datos!W17," - ")</f>
        <v>-1</v>
      </c>
      <c r="G17" s="457">
        <f>IF(ISNUMBER((Datos!N17-Datos!X17)/Datos!X17),(Datos!N17-Datos!X17)/Datos!X17," - ")</f>
        <v>0.16666666666666666</v>
      </c>
      <c r="H17" s="455">
        <f>IF(ISNUMBER(((NºAsuntos!G17/NºAsuntos!E17)-Datos!BD17)/Datos!BD17),((NºAsuntos!G17/NºAsuntos!E17)-Datos!BD17)/Datos!BD17," - ")</f>
        <v>3.7037037037037056E-2</v>
      </c>
      <c r="I17" s="456">
        <f>IF(ISNUMBER(((NºAsuntos!I17/NºAsuntos!G17)-Datos!BE17)/Datos!BE17),((NºAsuntos!I17/NºAsuntos!G17)-Datos!BE17)/Datos!BE17," - ")</f>
        <v>-0.1607142857142857</v>
      </c>
      <c r="J17" s="461">
        <f>IF(ISNUMBER((('Resol  Asuntos'!D17/NºAsuntos!G17)-Datos!BF17)/Datos!BF17),(('Resol  Asuntos'!D17/NºAsuntos!G17)-Datos!BF17)/Datos!BF17," - ")</f>
        <v>-1</v>
      </c>
      <c r="K17" s="462">
        <f>IF(ISNUMBER((((NºAsuntos!C17+NºAsuntos!E17)/NºAsuntos!G17)-Datos!BG17)/Datos!BG17),(((NºAsuntos!C17+NºAsuntos!E17)/NºAsuntos!G17)-Datos!BG17)/Datos!BG17," - ")</f>
        <v>-0.12857142857142864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0.65832106038291605</v>
      </c>
      <c r="C18" s="855">
        <f>IF(ISNUMBER(
   IF(Criterios!B14="SI",(Datos!J18-Datos!T18)/Datos!T18,(Datos!J18+Datos!AD18-(Datos!T18+Datos!AL18))/(Datos!T18+Datos!AL18))
     ),IF(Criterios!B14="SI",(Datos!J18-Datos!T18)/Datos!T18,(Datos!J18+Datos!AD18-(Datos!T18+Datos!AL18))/(Datos!T18+Datos!AL18))," - ")</f>
        <v>0.16109422492401215</v>
      </c>
      <c r="D18" s="855">
        <f>IF(ISNUMBER(
   IF(Criterios!B14="SI",(Datos!K18-Datos!U18)/Datos!U18,(Datos!K18+Datos!AE18-(Datos!U18+Datos!AM18))/(Datos!U18+Datos!AM18))
     ),IF(Criterios!B14="SI",(Datos!K18-Datos!U18)/Datos!U18,(Datos!K18+Datos!AE18-(Datos!U18+Datos!AM18))/(Datos!U18+Datos!AM18))," - ")</f>
        <v>0.51530612244897955</v>
      </c>
      <c r="E18" s="855">
        <f>IF(ISNUMBER(
   IF(Criterios!B14="SI",(Datos!L18-Datos!V18)/Datos!V18,(Datos!L18+Datos!AF18-(Datos!V18+Datos!AN18))/(Datos!V18+Datos!AN18))
     ),IF(Criterios!B14="SI",(Datos!L18-Datos!V18)/Datos!V18,(Datos!L18+Datos!AF18-(Datos!V18+Datos!AN18))/(Datos!V18+Datos!AN18))," - ")</f>
        <v>0.48225214198286415</v>
      </c>
      <c r="F18" s="856">
        <f>IF(ISNUMBER((Datos!M18-Datos!W18)/Datos!W18),(Datos!M18-Datos!W18)/Datos!W18," - ")</f>
        <v>0.59459459459459463</v>
      </c>
      <c r="G18" s="857">
        <f>IF(ISNUMBER((Datos!N18-Datos!X18)/Datos!X18),(Datos!N18-Datos!X18)/Datos!X18," - ")</f>
        <v>0.68235294117647061</v>
      </c>
      <c r="H18" s="857">
        <f>IF(ISNUMBER(((NºAsuntos!G18/NºAsuntos!E18)-Datos!BD18)/Datos!BD18),((NºAsuntos!G18/NºAsuntos!E18)-Datos!BD18)/Datos!BD18," - ")</f>
        <v>0.30506731488406891</v>
      </c>
      <c r="I18" s="857">
        <f>IF(ISNUMBER(((NºAsuntos!I18/NºAsuntos!G18)-Datos!BE18)/Datos!BE18),((NºAsuntos!I18/NºAsuntos!G18)-Datos!BE18)/Datos!BE18," - ")</f>
        <v>-2.1813401250365631E-2</v>
      </c>
      <c r="J18" s="857">
        <f>IF(ISNUMBER((('Resol  Asuntos'!D18/NºAsuntos!G18)-Datos!BF18)/Datos!BF18),(('Resol  Asuntos'!D18/NºAsuntos!G18)-Datos!BF18)/Datos!BF18," - ")</f>
        <v>5.2325052325052454E-2</v>
      </c>
      <c r="K18" s="857">
        <f>IF(ISNUMBER((((NºAsuntos!C18+NºAsuntos!E18)/NºAsuntos!G18)-Datos!BG18)/Datos!BG18),(((NºAsuntos!C18+NºAsuntos!E18)/NºAsuntos!G18)-Datos!BG18)/Datos!BG18," - ")</f>
        <v>-1.2719790497568266E-2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0.7334384858044164</v>
      </c>
      <c r="C19" s="802">
        <f>IF(ISNUMBER(
   IF(J_V="SI",(Datos!J19-Datos!T19)/Datos!T19,(Datos!J19+Datos!Z19-(Datos!T19+Datos!AH19))/(Datos!T19+Datos!AH19))
     ),IF(J_V="SI",(Datos!J19-Datos!T19)/Datos!T19,(Datos!J19+Datos!Z19-(Datos!T19+Datos!AH19))/(Datos!T19+Datos!AH19))," - ")</f>
        <v>-3.6912751677852351E-2</v>
      </c>
      <c r="D19" s="802">
        <f>IF(ISNUMBER(
   IF(J_V="SI",(Datos!K19-Datos!U19)/Datos!U19,(Datos!K19+Datos!AA19-(Datos!U19+Datos!AI19))/(Datos!U19+Datos!AI19))
     ),IF(J_V="SI",(Datos!K19-Datos!U19)/Datos!U19,(Datos!K19+Datos!AA19-(Datos!U19+Datos!AI19))/(Datos!U19+Datos!AI19))," - ")</f>
        <v>0.37247706422018351</v>
      </c>
      <c r="E19" s="802">
        <f>IF(ISNUMBER(
   IF(J_V="SI",(Datos!L19-Datos!V19)/Datos!V19,(Datos!L19+Datos!AB19-(Datos!V19+Datos!AJ19))/(Datos!V19+Datos!AJ19))
     ),IF(J_V="SI",(Datos!L19-Datos!V19)/Datos!V19,(Datos!L19+Datos!AB19-(Datos!V19+Datos!AJ19))/(Datos!V19+Datos!AJ19))," - ")</f>
        <v>0.50352733686067019</v>
      </c>
      <c r="F19" s="803">
        <f>IF(ISNUMBER((Datos!M19-Datos!W19)/Datos!W19),(Datos!M19-Datos!W19)/Datos!W19," - ")</f>
        <v>0.90243902439024393</v>
      </c>
      <c r="G19" s="804">
        <f>IF(ISNUMBER((Datos!N19-Datos!X19)/Datos!X19),(Datos!N19-Datos!X19)/Datos!X19," - ")</f>
        <v>0.22924901185770752</v>
      </c>
      <c r="H19" s="805">
        <f>IF(ISNUMBER((Tasas!B19-Datos!BD19)/Datos!BD19),(Tasas!B19-Datos!BD19)/Datos!BD19," - ")</f>
        <v>0.42508071476520792</v>
      </c>
      <c r="I19" s="806">
        <f>IF(ISNUMBER((Tasas!C19-Datos!BE19)/Datos!BE19),(Tasas!C19-Datos!BE19)/Datos!BE19," - ")</f>
        <v>9.5484490092333299E-2</v>
      </c>
      <c r="J19" s="807">
        <f>IF(ISNUMBER((Tasas!D19-Datos!BF19)/Datos!BF19),(Tasas!D19-Datos!BF19)/Datos!BF19," - ")</f>
        <v>-0.16831876874918494</v>
      </c>
      <c r="K19" s="807">
        <f>IF(ISNUMBER((Tasas!E19-Datos!BG19)/Datos!BG19),(Tasas!E19-Datos!BG19)/Datos!BG19," - ")</f>
        <v>8.3533198687200244E-2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GZ4TPFogNalaDSPJtnjwyfvY+SZOKN8NvpL/gBa6LPTVickqH7TA3WEeFLuRgbHEOi1zVuLFQY8XZ7e2l8yig==" saltValue="QEOsXtzp5srCYhuDMyEH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MARIN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0.94747899159663862</v>
      </c>
      <c r="C12" s="443">
        <f>IF(ISNUMBER(NºAsuntos!I12/NºAsuntos!G12),NºAsuntos!I12/NºAsuntos!G12," - ")</f>
        <v>4.8270509977827052</v>
      </c>
      <c r="D12" s="444">
        <f>IF(ISNUMBER('Resol  Asuntos'!D12/NºAsuntos!G12),'Resol  Asuntos'!D12/NºAsuntos!G12," - ")</f>
        <v>0.38802660753880264</v>
      </c>
      <c r="E12" s="445">
        <f>IF(ISNUMBER((NºAsuntos!C12+NºAsuntos!E12)/NºAsuntos!G12),(NºAsuntos!C12+NºAsuntos!E12)/NºAsuntos!G12," - ")</f>
        <v>5.8270509977827052</v>
      </c>
      <c r="G12" s="463"/>
    </row>
    <row r="13" spans="1:7" ht="14.25" thickTop="1" thickBot="1">
      <c r="A13" s="848" t="str">
        <f>Datos!A13</f>
        <v>TOTAL</v>
      </c>
      <c r="B13" s="858">
        <f>IF(ISNUMBER(NºAsuntos!G13/NºAsuntos!E13),NºAsuntos!G13/NºAsuntos!E13," - ")</f>
        <v>0.94154488517745305</v>
      </c>
      <c r="C13" s="859">
        <f>IF(ISNUMBER(NºAsuntos!I13/NºAsuntos!G13),NºAsuntos!I13/NºAsuntos!G13," - ")</f>
        <v>4.8758314855875833</v>
      </c>
      <c r="D13" s="860">
        <f>IF(ISNUMBER('Resol  Asuntos'!D13/NºAsuntos!G13),'Resol  Asuntos'!D13/NºAsuntos!G13," - ")</f>
        <v>0.38802660753880264</v>
      </c>
      <c r="E13" s="861">
        <f>IF(ISNUMBER((NºAsuntos!C13+NºAsuntos!E13)/NºAsuntos!G13),(NºAsuntos!C13+NºAsuntos!E13)/NºAsuntos!G13," - ")</f>
        <v>5.8758314855875833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0.7774566473988439</v>
      </c>
      <c r="C16" s="443">
        <f>IF(ISNUMBER(NºAsuntos!I16/NºAsuntos!G16),NºAsuntos!I16/NºAsuntos!G16," - ")</f>
        <v>4.1524163568773238</v>
      </c>
      <c r="D16" s="444">
        <f>IF(ISNUMBER('Resol  Asuntos'!D16/NºAsuntos!G16),'Resol  Asuntos'!D16/NºAsuntos!G16," - ")</f>
        <v>0.21933085501858737</v>
      </c>
      <c r="E16" s="445">
        <f>IF(ISNUMBER((NºAsuntos!C16+NºAsuntos!E16)/NºAsuntos!G16),(NºAsuntos!C16+NºAsuntos!E16)/NºAsuntos!G16," - ")</f>
        <v>5.1524163568773238</v>
      </c>
      <c r="G16" s="463"/>
    </row>
    <row r="17" spans="1:7" ht="13.5" thickBot="1">
      <c r="A17" s="402" t="str">
        <f>Datos!A17</f>
        <v>Jdos. Violencia contra la mujer</v>
      </c>
      <c r="B17" s="442">
        <f>IF(ISNUMBER(NºAsuntos!G17/NºAsuntos!E17),NºAsuntos!G17/NºAsuntos!E17," - ")</f>
        <v>0.77777777777777779</v>
      </c>
      <c r="C17" s="443">
        <f>IF(ISNUMBER(NºAsuntos!I17/NºAsuntos!G17),NºAsuntos!I17/NºAsuntos!G17," - ")</f>
        <v>3.3571428571428572</v>
      </c>
      <c r="D17" s="444">
        <f>IF(ISNUMBER('Resol  Asuntos'!D17/NºAsuntos!G17),'Resol  Asuntos'!D17/NºAsuntos!G17," - ")</f>
        <v>0</v>
      </c>
      <c r="E17" s="445">
        <f>IF(ISNUMBER((NºAsuntos!C17+NºAsuntos!E17)/NºAsuntos!G17),(NºAsuntos!C17+NºAsuntos!E17)/NºAsuntos!G17," - ")</f>
        <v>4.3571428571428568</v>
      </c>
      <c r="G17" s="463"/>
    </row>
    <row r="18" spans="1:7" ht="14.25" thickTop="1" thickBot="1">
      <c r="A18" s="848" t="str">
        <f>Datos!A18</f>
        <v>TOTAL</v>
      </c>
      <c r="B18" s="858">
        <f>IF(ISNUMBER(NºAsuntos!G18/NºAsuntos!E18),NºAsuntos!G18/NºAsuntos!E18," - ")</f>
        <v>0.77748691099476441</v>
      </c>
      <c r="C18" s="859">
        <f>IF(ISNUMBER(NºAsuntos!I18/NºAsuntos!G18),NºAsuntos!I18/NºAsuntos!G18," - ")</f>
        <v>4.0774410774410779</v>
      </c>
      <c r="D18" s="862">
        <f>IF(ISNUMBER('Resol  Asuntos'!D18/NºAsuntos!G18),'Resol  Asuntos'!D18/NºAsuntos!G18," - ")</f>
        <v>0.19865319865319866</v>
      </c>
      <c r="E18" s="861">
        <f>IF(ISNUMBER((NºAsuntos!C18+NºAsuntos!E18)/NºAsuntos!G18),(NºAsuntos!C18+NºAsuntos!E18)/NºAsuntos!G18," - ")</f>
        <v>5.0774410774410779</v>
      </c>
      <c r="G18" s="463"/>
    </row>
    <row r="19" spans="1:7" ht="15.75" customHeight="1" thickTop="1" thickBot="1">
      <c r="A19" s="793" t="str">
        <f>Datos!A19</f>
        <v>TOTAL JURISDICCIONES</v>
      </c>
      <c r="B19" s="808">
        <f>IF(ISNUMBER(NºAsuntos!G19/NºAsuntos!E19),NºAsuntos!G19/NºAsuntos!E19," - ")</f>
        <v>0.86875725900116141</v>
      </c>
      <c r="C19" s="809">
        <f>IF(ISNUMBER(NºAsuntos!I19/NºAsuntos!G19),NºAsuntos!I19/NºAsuntos!G19," - ")</f>
        <v>4.5588235294117645</v>
      </c>
      <c r="D19" s="810">
        <f>IF(ISNUMBER('Resol  Asuntos'!D19/NºAsuntos!G19),'Resol  Asuntos'!D19/NºAsuntos!G19," - ")</f>
        <v>0.31283422459893045</v>
      </c>
      <c r="E19" s="811">
        <f>IF(ISNUMBER((NºAsuntos!C19+NºAsuntos!E19)/NºAsuntos!G19),(NºAsuntos!C19+NºAsuntos!E19)/NºAsuntos!G19," - ")</f>
        <v>5.5588235294117645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C/tD3nOMHyjVQEiKyMa4Gwm5gzw9zahwy70fEs7MWxZyKoSkveFbOSSCeErc1qHgGyM/sL3f9kks955odDvqQ==" saltValue="BthPeVaNMdpVGJzHE/Pv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MARIN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22</v>
      </c>
      <c r="AB10" s="334">
        <f>IF(ISNUMBER(Datos!R10),Datos!R10," - ")</f>
        <v>7</v>
      </c>
      <c r="AC10" s="334">
        <f t="shared" ref="AC10:AC12" si="1">IF(ISNUMBER(AA10+AB10),AA10+AB10," - ")</f>
        <v>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v>
      </c>
      <c r="Y12" s="334">
        <f t="shared" si="0"/>
        <v>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175</v>
      </c>
      <c r="AJ12" s="229" t="str">
        <f>IF(ISNUMBER(Datos!BW12),Datos!BW12," - ")</f>
        <v xml:space="preserve"> - </v>
      </c>
      <c r="AK12" s="228" t="str">
        <f>IF(ISNUMBER(Datos!BX12),Datos!BX12," - ")</f>
        <v xml:space="preserve"> - </v>
      </c>
      <c r="AL12" s="243">
        <f>IF(ISNUMBER(NºAsuntos!G12/NºAsuntos!E12),NºAsuntos!G12/NºAsuntos!E12," - ")</f>
        <v>0.94747899159663862</v>
      </c>
      <c r="AM12" s="260">
        <f>IF(ISNUMBER(((NºAsuntos!I12/NºAsuntos!G12)*11)/factor_trimestre),((NºAsuntos!I12/NºAsuntos!G12)*11)/factor_trimestre," - ")</f>
        <v>14.481152993348116</v>
      </c>
      <c r="AN12" s="244">
        <f>IF(ISNUMBER('Resol  Asuntos'!D12/NºAsuntos!G12),'Resol  Asuntos'!D12/NºAsuntos!G12," - ")</f>
        <v>0.38802660753880264</v>
      </c>
      <c r="AO12" s="245">
        <f>IF(ISNUMBER((NºAsuntos!C12+NºAsuntos!E12)/NºAsuntos!G12),(NºAsuntos!C12+NºAsuntos!E12)/NºAsuntos!G12," - ")</f>
        <v>5.8270509977827052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19</v>
      </c>
      <c r="G13" s="866">
        <f t="shared" si="3"/>
        <v>19</v>
      </c>
      <c r="H13" s="865">
        <f t="shared" si="3"/>
        <v>0</v>
      </c>
      <c r="I13" s="867">
        <f t="shared" si="3"/>
        <v>0</v>
      </c>
      <c r="J13" s="867">
        <f t="shared" si="3"/>
        <v>0</v>
      </c>
      <c r="K13" s="867">
        <f t="shared" si="3"/>
        <v>0</v>
      </c>
      <c r="L13" s="867">
        <f t="shared" si="3"/>
        <v>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49</v>
      </c>
      <c r="Y13" s="868">
        <f t="shared" si="4"/>
        <v>49</v>
      </c>
      <c r="Z13" s="868">
        <f t="shared" si="4"/>
        <v>0</v>
      </c>
      <c r="AA13" s="868">
        <f t="shared" si="4"/>
        <v>22</v>
      </c>
      <c r="AB13" s="868">
        <f t="shared" si="4"/>
        <v>1576</v>
      </c>
      <c r="AC13" s="868">
        <f t="shared" si="4"/>
        <v>29</v>
      </c>
      <c r="AD13" s="868">
        <f t="shared" si="4"/>
        <v>0</v>
      </c>
      <c r="AE13" s="872">
        <f t="shared" si="4"/>
        <v>0</v>
      </c>
      <c r="AF13" s="865">
        <f t="shared" si="4"/>
        <v>0</v>
      </c>
      <c r="AG13" s="873">
        <f t="shared" si="4"/>
        <v>0</v>
      </c>
      <c r="AH13" s="870">
        <f t="shared" si="4"/>
        <v>0</v>
      </c>
      <c r="AI13" s="865">
        <f t="shared" si="4"/>
        <v>175</v>
      </c>
      <c r="AJ13" s="867">
        <f t="shared" si="4"/>
        <v>0</v>
      </c>
      <c r="AK13" s="870">
        <f>SUBTOTAL(9,AK9:AK12)</f>
        <v>0</v>
      </c>
      <c r="AL13" s="874">
        <f>IF(ISNUMBER(NºAsuntos!G13/NºAsuntos!E13),NºAsuntos!G13/NºAsuntos!E13," - ")</f>
        <v>0.94154488517745305</v>
      </c>
      <c r="AM13" s="874">
        <f>IF(ISNUMBER(((NºAsuntos!I13/NºAsuntos!G13)*11)/factor_trimestre),((NºAsuntos!I13/NºAsuntos!G13)*11)/factor_trimestre," - ")</f>
        <v>14.627494456762749</v>
      </c>
      <c r="AN13" s="875">
        <f>IF(ISNUMBER('Resol  Asuntos'!D13/NºAsuntos!G13),'Resol  Asuntos'!D13/NºAsuntos!G13," - ")</f>
        <v>0.38802660753880264</v>
      </c>
      <c r="AO13" s="876">
        <f>IF(ISNUMBER((NºAsuntos!C13+NºAsuntos!E13)/NºAsuntos!G13),(NºAsuntos!C13+NºAsuntos!E13)/NºAsuntos!G13," - ")</f>
        <v>5.8758314855875833</v>
      </c>
      <c r="AP13" s="877" t="str">
        <f t="shared" si="2"/>
        <v xml:space="preserve"> - </v>
      </c>
      <c r="AQ13" s="877">
        <f>IF(ISNUMBER((H13-W13+K13)/(F13)),(H13-W13+K13)/(F13)," - ")</f>
        <v>0</v>
      </c>
      <c r="AR13" s="878">
        <f>IF(ISNUMBER((Datos!P13-Datos!Q13)/(Datos!R13-Datos!P13+Datos!Q13)),(Datos!P13-Datos!Q13)/(Datos!R13-Datos!P13+Datos!Q13)," - ")</f>
        <v>3.0065359477124184E-2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1040</v>
      </c>
      <c r="G16" s="333">
        <f>IF(ISNUMBER(IF(D_I="SI",Datos!I16,Datos!I16+Datos!AC16)),IF(D_I="SI",Datos!I16,Datos!I16+Datos!AC16)," - ")</f>
        <v>1040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269</v>
      </c>
      <c r="X16" s="226">
        <f>IF(ISNUMBER(Datos!Q16),Datos!Q16," - ")</f>
        <v>8</v>
      </c>
      <c r="Y16" s="334">
        <f t="shared" ref="Y16:Y17" si="7">SUM(W16:X16)</f>
        <v>277</v>
      </c>
      <c r="Z16" s="335" t="str">
        <f>IF(ISNUMBER(Datos!CC16),Datos!CC16," - ")</f>
        <v xml:space="preserve"> - </v>
      </c>
      <c r="AA16" s="332">
        <f>IF(ISNUMBER(IF(D_I="SI",Datos!L16,Datos!L16+Datos!AF16)),IF(D_I="SI",Datos!L16,Datos!L16+Datos!AF16)," - ")</f>
        <v>1117</v>
      </c>
      <c r="AB16" s="334">
        <f>IF(ISNUMBER(Datos!R16),Datos!R16," - ")</f>
        <v>127</v>
      </c>
      <c r="AC16" s="334">
        <f t="shared" si="6"/>
        <v>1244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59</v>
      </c>
      <c r="AJ16" s="231" t="str">
        <f>IF(ISNUMBER(Datos!BW16),Datos!BW16," - ")</f>
        <v xml:space="preserve"> - </v>
      </c>
      <c r="AK16" s="232" t="str">
        <f>IF(ISNUMBER(Datos!BX16),Datos!BX16," - ")</f>
        <v xml:space="preserve"> - </v>
      </c>
      <c r="AL16" s="243">
        <f>IF(ISNUMBER(NºAsuntos!G16/NºAsuntos!E16),NºAsuntos!G16/NºAsuntos!E16," - ")</f>
        <v>0.7774566473988439</v>
      </c>
      <c r="AM16" s="260">
        <f>IF(ISNUMBER(((NºAsuntos!I16/NºAsuntos!G16)*11)/factor_trimestre),((NºAsuntos!I16/NºAsuntos!G16)*11)/factor_trimestre," - ")</f>
        <v>12.457249070631972</v>
      </c>
      <c r="AN16" s="244">
        <f>IF(ISNUMBER('Resol  Asuntos'!D16/NºAsuntos!G16),'Resol  Asuntos'!D16/NºAsuntos!G16," - ")</f>
        <v>0.21933085501858737</v>
      </c>
      <c r="AO16" s="245">
        <f>IF(ISNUMBER((NºAsuntos!C16+NºAsuntos!E16)/NºAsuntos!G16),(NºAsuntos!C16+NºAsuntos!E16)/NºAsuntos!G16," - ")</f>
        <v>5.1524163568773238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94</v>
      </c>
      <c r="AB17" s="334">
        <f>IF(ISNUMBER(Datos!R17),Datos!R17," - ")</f>
        <v>3</v>
      </c>
      <c r="AC17" s="334">
        <f t="shared" si="6"/>
        <v>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0.77777777777777779</v>
      </c>
      <c r="AM17" s="260">
        <f>IF(ISNUMBER(((NºAsuntos!I17/NºAsuntos!G17)*11)/factor_trimestre),((NºAsuntos!I17/NºAsuntos!G17)*11)/factor_trimestre," - ")</f>
        <v>10.071428571428573</v>
      </c>
      <c r="AN17" s="244">
        <f>IF(ISNUMBER('Resol  Asuntos'!D17/NºAsuntos!G17),'Resol  Asuntos'!D17/NºAsuntos!G17," - ")</f>
        <v>0</v>
      </c>
      <c r="AO17" s="245">
        <f>IF(ISNUMBER((NºAsuntos!C17+NºAsuntos!E17)/NºAsuntos!G17),(NºAsuntos!C17+NºAsuntos!E17)/NºAsuntos!G17," - ")</f>
        <v>4.3571428571428568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1040</v>
      </c>
      <c r="G18" s="866">
        <f>SUBTOTAL(9,G15:G17)</f>
        <v>1126</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297</v>
      </c>
      <c r="X18" s="867">
        <f t="shared" si="11"/>
        <v>8</v>
      </c>
      <c r="Y18" s="868">
        <f t="shared" si="11"/>
        <v>305</v>
      </c>
      <c r="Z18" s="868">
        <f t="shared" si="11"/>
        <v>0</v>
      </c>
      <c r="AA18" s="868">
        <f t="shared" si="11"/>
        <v>1211</v>
      </c>
      <c r="AB18" s="868">
        <f t="shared" si="11"/>
        <v>130</v>
      </c>
      <c r="AC18" s="868">
        <f t="shared" si="11"/>
        <v>1341</v>
      </c>
      <c r="AD18" s="868">
        <f t="shared" si="11"/>
        <v>0</v>
      </c>
      <c r="AE18" s="872">
        <f t="shared" si="11"/>
        <v>0</v>
      </c>
      <c r="AF18" s="865">
        <f t="shared" si="11"/>
        <v>0</v>
      </c>
      <c r="AG18" s="873">
        <f t="shared" si="11"/>
        <v>0</v>
      </c>
      <c r="AH18" s="870">
        <f t="shared" si="11"/>
        <v>0</v>
      </c>
      <c r="AI18" s="865">
        <f t="shared" si="11"/>
        <v>59</v>
      </c>
      <c r="AJ18" s="867">
        <f t="shared" si="11"/>
        <v>0</v>
      </c>
      <c r="AK18" s="870">
        <f t="shared" si="11"/>
        <v>0</v>
      </c>
      <c r="AL18" s="874">
        <f>IF(ISNUMBER(NºAsuntos!G18/NºAsuntos!E18),NºAsuntos!G18/NºAsuntos!E18," - ")</f>
        <v>0.77748691099476441</v>
      </c>
      <c r="AM18" s="874">
        <f>IF(ISNUMBER(((NºAsuntos!I18/NºAsuntos!G18)*11)/factor_trimestre),((NºAsuntos!I18/NºAsuntos!G18)*11)/factor_trimestre," - ")</f>
        <v>12.232323232323234</v>
      </c>
      <c r="AN18" s="875">
        <f>IF(ISNUMBER('Resol  Asuntos'!D18/NºAsuntos!G18),'Resol  Asuntos'!D18/NºAsuntos!G18," - ")</f>
        <v>0.19865319865319866</v>
      </c>
      <c r="AO18" s="876">
        <f>IF(ISNUMBER((NºAsuntos!C18+NºAsuntos!E18)/NºAsuntos!G18),(NºAsuntos!C18+NºAsuntos!E18)/NºAsuntos!G18," - ")</f>
        <v>5.0774410774410779</v>
      </c>
      <c r="AP18" s="877" t="str">
        <f t="shared" si="2"/>
        <v xml:space="preserve"> - </v>
      </c>
      <c r="AQ18" s="877">
        <f>IF(ISNUMBER((H18-W18+K18)/(F18)),(H18-W18+K18)/(F18)," - ")</f>
        <v>-0.28557692307692306</v>
      </c>
      <c r="AR18" s="878">
        <f>IF(ISNUMBER((Datos!P18-Datos!Q18)/(Datos!R18-Datos!P18+Datos!Q18)),(Datos!P18-Datos!Q18)/(Datos!R18-Datos!P18+Datos!Q18)," - ")</f>
        <v>9.2436974789915971E-2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1059</v>
      </c>
      <c r="G19" s="821">
        <f t="shared" si="13"/>
        <v>1145</v>
      </c>
      <c r="H19" s="820">
        <f t="shared" si="13"/>
        <v>0</v>
      </c>
      <c r="I19" s="822">
        <f t="shared" si="13"/>
        <v>0</v>
      </c>
      <c r="J19" s="822">
        <f t="shared" si="13"/>
        <v>0</v>
      </c>
      <c r="K19" s="881">
        <f t="shared" si="13"/>
        <v>0</v>
      </c>
      <c r="L19" s="822">
        <f t="shared" si="13"/>
        <v>114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297</v>
      </c>
      <c r="X19" s="821">
        <f t="shared" si="14"/>
        <v>57</v>
      </c>
      <c r="Y19" s="828">
        <f t="shared" si="14"/>
        <v>354</v>
      </c>
      <c r="Z19" s="828">
        <f t="shared" si="14"/>
        <v>0</v>
      </c>
      <c r="AA19" s="828">
        <f t="shared" si="14"/>
        <v>1233</v>
      </c>
      <c r="AB19" s="828">
        <f t="shared" si="14"/>
        <v>1706</v>
      </c>
      <c r="AC19" s="828">
        <f t="shared" si="14"/>
        <v>1370</v>
      </c>
      <c r="AD19" s="828">
        <f t="shared" si="14"/>
        <v>0</v>
      </c>
      <c r="AE19" s="830">
        <f t="shared" si="14"/>
        <v>0</v>
      </c>
      <c r="AF19" s="831">
        <f t="shared" si="14"/>
        <v>0</v>
      </c>
      <c r="AG19" s="832">
        <f t="shared" si="14"/>
        <v>0</v>
      </c>
      <c r="AH19" s="830">
        <f t="shared" si="14"/>
        <v>0</v>
      </c>
      <c r="AI19" s="820">
        <f t="shared" si="14"/>
        <v>234</v>
      </c>
      <c r="AJ19" s="820">
        <f t="shared" si="14"/>
        <v>0</v>
      </c>
      <c r="AK19" s="830">
        <f t="shared" si="14"/>
        <v>0</v>
      </c>
      <c r="AL19" s="884">
        <f>IF(ISNUMBER(NºAsuntos!G19/NºAsuntos!E19),NºAsuntos!G19/NºAsuntos!E19," - ")</f>
        <v>0.86875725900116141</v>
      </c>
      <c r="AM19" s="885">
        <f>IF(ISNUMBER(((NºAsuntos!I19/NºAsuntos!G19)*11)/factor_trimestre),((NºAsuntos!I19/NºAsuntos!G19)*11)/factor_trimestre," - ")</f>
        <v>13.676470588235293</v>
      </c>
      <c r="AN19" s="885">
        <f>IF(ISNUMBER('Resol  Asuntos'!D19/NºAsuntos!G19),'Resol  Asuntos'!D19/NºAsuntos!G19," - ")</f>
        <v>0.31283422459893045</v>
      </c>
      <c r="AO19" s="886">
        <f>IF(ISNUMBER((NºAsuntos!C19+NºAsuntos!E19)/NºAsuntos!G19),(NºAsuntos!C19+NºAsuntos!E19)/NºAsuntos!G19," - ")</f>
        <v>5.5588235294117645</v>
      </c>
      <c r="AP19" s="887" t="str">
        <f t="shared" si="2"/>
        <v xml:space="preserve"> - </v>
      </c>
      <c r="AQ19" s="888">
        <f>IF(OR(ISNUMBER(FIND("01",Criterios!A8,1)),ISNUMBER(FIND("02",Criterios!A8,1)),ISNUMBER(FIND("03",Criterios!A8,1)),ISNUMBER(FIND("04",Criterios!A8,1))),(I19-W19+K19)/(F19-K19),(H19-W19+K19)/(F19-K19))</f>
        <v>-0.28045325779036828</v>
      </c>
      <c r="AR19" s="889">
        <f>IF(ISNUMBER((Datos!P19-Datos!Q19)/(Datos!R19-Datos!P19+Datos!Q19)),(Datos!P19-Datos!Q19)/(Datos!R19-Datos!P19+Datos!Q19)," - ")</f>
        <v>3.4566403881140087E-2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589.47462484260791</v>
      </c>
      <c r="G21" s="253">
        <f>IF(ISNUMBER(STDEV(G8:G18)),STDEV(G8:G18),"-")</f>
        <v>572.00830413552569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150.6542399005086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79.634163522950374</v>
      </c>
      <c r="AJ21" s="252">
        <f t="shared" si="18"/>
        <v>0</v>
      </c>
      <c r="AK21" s="254">
        <f t="shared" si="18"/>
        <v>0</v>
      </c>
      <c r="AL21" s="249">
        <f t="shared" si="18"/>
        <v>0.35427788813507205</v>
      </c>
      <c r="AM21" s="250">
        <f t="shared" si="18"/>
        <v>1.8739964125925914</v>
      </c>
      <c r="AN21" s="250">
        <f t="shared" si="18"/>
        <v>0.16089858124139442</v>
      </c>
      <c r="AO21" s="251">
        <f t="shared" si="18"/>
        <v>0.62466547086419211</v>
      </c>
      <c r="AP21" s="291" t="str">
        <f t="shared" si="18"/>
        <v>-</v>
      </c>
      <c r="AQ21" s="292">
        <f t="shared" si="18"/>
        <v>0.20193337885808135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w4qbAV1dh7zxx2V/ykY0CKlcj/XFfQp773rIPtoBvUo3oJx5jpUGVzjbUPFbYrvz10gYtPNLilQf87bUC5Z2yQ==" saltValue="kk5AWjUvUwNibpvZvS3x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MARIN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0.46153846153846156</v>
      </c>
      <c r="E10" s="348">
        <f>IF(ISNUMBER((Datos!J10-Datos!T10)/Datos!T10),(Datos!J10-Datos!T10)/Datos!T10," - ")</f>
        <v>2</v>
      </c>
      <c r="F10" s="348" t="str">
        <f>IF(ISNUMBER((Datos!K10-Datos!U10)/Datos!U10),(Datos!K10-Datos!U10)/Datos!U10," - ")</f>
        <v xml:space="preserve"> - </v>
      </c>
      <c r="G10" s="349">
        <f>IF(ISNUMBER((Datos!L10-Datos!V10)/Datos!V10),(Datos!L10-Datos!V10)/Datos!V10," - ")</f>
        <v>0.5714285714285714</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1.0348837209302326</v>
      </c>
      <c r="I12" s="350">
        <f>IF(ISNUMBER((Tasas!C12-Datos!BE12)/Datos!BE12),(Tasas!C12-Datos!BE12)/Datos!BE12," - ")</f>
        <v>0.17233180113163821</v>
      </c>
      <c r="J12" s="349">
        <f>IF(ISNUMBER((Tasas!D12-Datos!BF12)/Datos!BF12),(Tasas!D12-Datos!BF12)/Datos!BF12," - ")</f>
        <v>-0.19392091648189211</v>
      </c>
      <c r="K12" s="351">
        <f>IF(ISNUMBER((Tasas!E12-Datos!BG12)/Datos!BG12),(Tasas!E12-Datos!BG12)/Datos!BG12," - ")</f>
        <v>0.14635896179603386</v>
      </c>
      <c r="M12" t="e">
        <f>IF(Monitorios="SI",Datos!CE12,0)</f>
        <v>#REF!</v>
      </c>
      <c r="N12" t="e">
        <f>IF(Monitorios="SI",Datos!CF12,0)</f>
        <v>#REF!</v>
      </c>
      <c r="O12" t="e">
        <f>IF(Monitorios="SI",Datos!CG12,0)</f>
        <v>#REF!</v>
      </c>
      <c r="P12" t="e">
        <f>IF(Monitorios="SI",Datos!CH12,0)</f>
        <v>#REF!</v>
      </c>
      <c r="Q12">
        <f>IF(J_V="SI",0,Datos!AG12)</f>
        <v>27</v>
      </c>
      <c r="R12">
        <f>IF(J_V="SI",0,Datos!AH12)</f>
        <v>24</v>
      </c>
      <c r="S12">
        <f>IF(J_V="SI",0,Datos!AI12)</f>
        <v>39</v>
      </c>
      <c r="T12">
        <f>IF(J_V="SI",0,Datos!AJ12)</f>
        <v>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1.0348837209302326</v>
      </c>
      <c r="I13" s="357">
        <f>IF(ISNUMBER((Tasas!C13-Datos!BE13)/Datos!BE13),(Tasas!C13-Datos!BE13)/Datos!BE13," - ")</f>
        <v>0.17275340349418775</v>
      </c>
      <c r="J13" s="355">
        <f>IF(ISNUMBER((Tasas!D13-Datos!BF13)/Datos!BF13),(Tasas!D13-Datos!BF13)/Datos!BF13," - ")</f>
        <v>-0.19392091648189211</v>
      </c>
      <c r="K13" s="358">
        <f>IF(ISNUMBER((Tasas!E13-Datos!BG13)/Datos!BG13),(Tasas!E13-Datos!BG13)/Datos!BG13," - ")</f>
        <v>0.14690446782442193</v>
      </c>
      <c r="M13" t="e">
        <f>IF(Monitorios="SI",Datos!CE13,0)</f>
        <v>#REF!</v>
      </c>
      <c r="N13" t="e">
        <f>IF(Monitorios="SI",Datos!CF13,0)</f>
        <v>#REF!</v>
      </c>
      <c r="O13" t="e">
        <f>IF(Monitorios="SI",Datos!CG13,0)</f>
        <v>#REF!</v>
      </c>
      <c r="P13" t="e">
        <f>IF(Monitorios="SI",Datos!CH13,0)</f>
        <v>#REF!</v>
      </c>
      <c r="Q13">
        <f>IF(J_V="SI",0,Datos!AG13)</f>
        <v>27</v>
      </c>
      <c r="R13">
        <f>IF(J_V="SI",0,Datos!AH13)</f>
        <v>24</v>
      </c>
      <c r="S13">
        <f>IF(J_V="SI",0,Datos!AI13)</f>
        <v>39</v>
      </c>
      <c r="T13">
        <f>IF(J_V="SI",0,Datos!AJ13)</f>
        <v>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0.69657422512234912</v>
      </c>
      <c r="E16" s="348">
        <f>IF(ISNUMBER(
   IF(D_I="SI",(Datos!J16-Datos!T16)/Datos!T16,(Datos!J16+Datos!AD16-(Datos!T16+Datos!AL16))/(Datos!T16+Datos!AL16))
     ),IF(D_I="SI",(Datos!J16-Datos!T16)/Datos!T16,(Datos!J16+Datos!AD16-(Datos!T16+Datos!AL16))/(Datos!T16+Datos!AL16))," - ")</f>
        <v>0.13442622950819672</v>
      </c>
      <c r="F16" s="348">
        <f>IF(ISNUMBER(
   IF(D_I="SI",(Datos!K16-Datos!U16)/Datos!U16,(Datos!K16+Datos!AE16-(Datos!U16+Datos!AM16))/(Datos!U16+Datos!AM16))
     ),IF(D_I="SI",(Datos!K16-Datos!U16)/Datos!U16,(Datos!K16+Datos!AE16-(Datos!U16+Datos!AM16))/(Datos!U16+Datos!AM16))," - ")</f>
        <v>0.5112359550561798</v>
      </c>
      <c r="G16" s="349">
        <f>IF(ISNUMBER(
   IF(D_I="SI",(Datos!L16-Datos!V16)/Datos!V16,(Datos!L16+Datos!AF16-(Datos!V16+Datos!AN16))/(Datos!V16+Datos!AN16))
     ),IF(D_I="SI",(Datos!L16-Datos!V16)/Datos!V16,(Datos!L16+Datos!AF16-(Datos!V16+Datos!AN16))/(Datos!V16+Datos!AN16))," - ")</f>
        <v>0.4993288590604027</v>
      </c>
      <c r="H16" s="230">
        <f>IF(ISNUMBER((Datos!M16-Datos!W16)/Datos!W16),(Datos!M16-Datos!W16)/Datos!W16," - ")</f>
        <v>0.63888888888888884</v>
      </c>
      <c r="I16" s="350">
        <f>IF(ISNUMBER((Tasas!C16-Datos!BE16)/Datos!BE16),(Tasas!C16-Datos!BE16)/Datos!BE16," - ")</f>
        <v>-7.8790449340085701E-3</v>
      </c>
      <c r="J16" s="349">
        <f>IF(ISNUMBER((Tasas!D16-Datos!BF16)/Datos!BF16),(Tasas!D16-Datos!BF16)/Datos!BF16," - ")</f>
        <v>8.446922759190427E-2</v>
      </c>
      <c r="K16" s="351">
        <f>IF(ISNUMBER((Tasas!E16-Datos!BG16)/Datos!BG16),(Tasas!E16-Datos!BG16)/Datos!BG16," - ")</f>
        <v>-9.4759093228360893E-4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0.30303030303030304</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0.55555555555555558</v>
      </c>
      <c r="G17" s="349">
        <f>IF(ISNUMBER(
   IF(D_I="SI",(Datos!L17-Datos!V17)/Datos!V17,(Datos!L17+Datos!AF17-(Datos!V17+Datos!AN17))/(Datos!V17+Datos!AN17))
     ),IF(D_I="SI",(Datos!L17-Datos!V17)/Datos!V17,(Datos!L17+Datos!AF17-(Datos!V17+Datos!AN17))/(Datos!V17+Datos!AN17))," - ")</f>
        <v>0.30555555555555558</v>
      </c>
      <c r="H17" s="230">
        <f>IF(ISNUMBER((Datos!M17-Datos!W17)/Datos!W17),(Datos!M17-Datos!W17)/Datos!W17," - ")</f>
        <v>-1</v>
      </c>
      <c r="I17" s="350">
        <f>IF(ISNUMBER((Tasas!C17-Datos!BE17)/Datos!BE17),(Tasas!C17-Datos!BE17)/Datos!BE17," - ")</f>
        <v>-0.1607142857142857</v>
      </c>
      <c r="J17" s="349">
        <f>IF(ISNUMBER((Tasas!D17-Datos!BF17)/Datos!BF17),(Tasas!D17-Datos!BF17)/Datos!BF17," - ")</f>
        <v>-1</v>
      </c>
      <c r="K17" s="351">
        <f>IF(ISNUMBER((Tasas!E17-Datos!BG17)/Datos!BG17),(Tasas!E17-Datos!BG17)/Datos!BG17," - ")</f>
        <v>-0.12857142857142864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0.65832106038291605</v>
      </c>
      <c r="E18" s="354">
        <f>IF(ISNUMBER(
   IF(D_I="SI",(Datos!J18-Datos!T18)/Datos!T18,(Datos!J18+Datos!AD18-(Datos!T18+Datos!AL18))/(Datos!T18+Datos!AL18))
     ),IF(D_I="SI",(Datos!J18-Datos!T18)/Datos!T18,(Datos!J18+Datos!AD18-(Datos!T18+Datos!AL18))/(Datos!T18+Datos!AL18))," - ")</f>
        <v>0.16109422492401215</v>
      </c>
      <c r="F18" s="354">
        <f>IF(ISNUMBER(
   IF(D_I="SI",(Datos!K18-Datos!U18)/Datos!U18,(Datos!K18+Datos!AE18-(Datos!U18+Datos!AM18))/(Datos!U18+Datos!AM18))
     ),IF(D_I="SI",(Datos!K18-Datos!U18)/Datos!U18,(Datos!K18+Datos!AE18-(Datos!U18+Datos!AM18))/(Datos!U18+Datos!AM18))," - ")</f>
        <v>0.51530612244897955</v>
      </c>
      <c r="G18" s="355">
        <f>IF(ISNUMBER(
   IF(D_I="SI",(Datos!L18-Datos!V18)/Datos!V18,(Datos!L18+Datos!AF18-(Datos!V18+Datos!AN18))/(Datos!V18+Datos!AN18))
     ),IF(D_I="SI",(Datos!L18-Datos!V18)/Datos!V18,(Datos!L18+Datos!AF18-(Datos!V18+Datos!AN18))/(Datos!V18+Datos!AN18))," - ")</f>
        <v>0.48225214198286415</v>
      </c>
      <c r="H18" s="356">
        <f>IF(ISNUMBER((Datos!M18-Datos!W18)/Datos!W18),(Datos!M18-Datos!W18)/Datos!W18," - ")</f>
        <v>0.59459459459459463</v>
      </c>
      <c r="I18" s="357">
        <f>IF(ISNUMBER((Tasas!C18-Datos!BE18)/Datos!BE18),(Tasas!C18-Datos!BE18)/Datos!BE18," - ")</f>
        <v>-2.1813401250365631E-2</v>
      </c>
      <c r="J18" s="355">
        <f>IF(ISNUMBER((Tasas!D18-Datos!BF18)/Datos!BF18),(Tasas!D18-Datos!BF18)/Datos!BF18," - ")</f>
        <v>5.2325052325052454E-2</v>
      </c>
      <c r="K18" s="358">
        <f>IF(ISNUMBER((Tasas!E18-Datos!BG18)/Datos!BG18),(Tasas!E18-Datos!BG18)/Datos!BG18," - ")</f>
        <v>-1.2719790497568266E-2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0.7334384858044164</v>
      </c>
      <c r="E19" s="363">
        <f>IF(ISNUMBER(
   IF(J_V="SI",(Datos!J19-Datos!T19)/Datos!T19,(Datos!J19+Datos!Z19-(Datos!T19+Datos!AH19))/(Datos!T19+Datos!AH19))
     ),IF(J_V="SI",(Datos!J19-Datos!T19)/Datos!T19,(Datos!J19+Datos!Z19-(Datos!T19+Datos!AH19))/(Datos!T19+Datos!AH19))," - ")</f>
        <v>-3.6912751677852351E-2</v>
      </c>
      <c r="F19" s="363">
        <f>IF(ISNUMBER(
   IF(J_V="SI",(Datos!K19-Datos!U19)/Datos!U19,(Datos!K19+Datos!AA19-(Datos!U19+Datos!AI19))/(Datos!U19+Datos!AI19))
     ),IF(J_V="SI",(Datos!K19-Datos!U19)/Datos!U19,(Datos!K19+Datos!AA19-(Datos!U19+Datos!AI19))/(Datos!U19+Datos!AI19))," - ")</f>
        <v>0.37247706422018351</v>
      </c>
      <c r="G19" s="364">
        <f>IF(ISNUMBER(
   IF(J_V="SI",(Datos!L19-Datos!V19)/Datos!V19,(Datos!L19+Datos!AB19-(Datos!V19+Datos!AJ19))/(Datos!V19+Datos!AJ19))
     ),IF(J_V="SI",(Datos!L19-Datos!V19)/Datos!V19,(Datos!L19+Datos!AB19-(Datos!V19+Datos!AJ19))/(Datos!V19+Datos!AJ19))," - ")</f>
        <v>0.50352733686067019</v>
      </c>
      <c r="H19" s="365">
        <f>IF(ISNUMBER((Datos!M19-Datos!W19)/Datos!W19),(Datos!M19-Datos!W19)/Datos!W19," - ")</f>
        <v>0.90243902439024393</v>
      </c>
      <c r="I19" s="362">
        <f>IF(ISNUMBER((Tasas!C19-Datos!BE19)/Datos!BE19),(Tasas!C19-Datos!BE19)/Datos!BE19," - ")</f>
        <v>9.5484490092333299E-2</v>
      </c>
      <c r="J19" s="363">
        <f>IF(ISNUMBER((Tasas!D19-Datos!BF19)/Datos!BF19),(Tasas!D19-Datos!BF19)/Datos!BF19," - ")</f>
        <v>-0.16831876874918494</v>
      </c>
      <c r="K19" s="364">
        <f>IF(ISNUMBER((Tasas!E19-Datos!BG19)/Datos!BG19),(Tasas!E19-Datos!BG19)/Datos!BG19," - ")</f>
        <v>8.3533198687200244E-2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0.18295301837116834</v>
      </c>
      <c r="E21" s="278">
        <f t="shared" si="1"/>
        <v>0.88323045458069116</v>
      </c>
      <c r="F21" s="278">
        <f t="shared" si="1"/>
        <v>2.4497653344862848E-2</v>
      </c>
      <c r="G21" s="279">
        <f t="shared" si="1"/>
        <v>0.11287923330343715</v>
      </c>
      <c r="H21" s="285">
        <f t="shared" si="1"/>
        <v>0.84301503707526548</v>
      </c>
      <c r="I21" s="277">
        <f t="shared" si="1"/>
        <v>0.14241127726666616</v>
      </c>
      <c r="J21" s="278">
        <f t="shared" si="1"/>
        <v>0.43933461314021671</v>
      </c>
      <c r="K21" s="279">
        <f t="shared" si="1"/>
        <v>0.1174026026780722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6z7PvpBn3fy24AgvhHWxmuCYoJdkVbKwc2p2cTyIXhbFUYof/4/sVuoqwk5AA1+IXI3UZWuuz9No/9y3prK2Q==" saltValue="C/s3R0wA7VbZOIaYuGjT9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